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wdp" ContentType="image/vnd.ms-photo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5.xml" ContentType="application/vnd.openxmlformats-officedocument.drawing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persons/person.xml" ContentType="application/vnd.ms-excel.perso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Asus\Desktop\Planta Solar\"/>
    </mc:Choice>
  </mc:AlternateContent>
  <bookViews>
    <workbookView xWindow="0" yWindow="0" windowWidth="17775" windowHeight="6060" activeTab="10"/>
  </bookViews>
  <sheets>
    <sheet name="Presentacion" sheetId="1" r:id="rId1"/>
    <sheet name="Hoja1" sheetId="9" r:id="rId2"/>
    <sheet name="main cash flow" sheetId="2" r:id="rId3"/>
    <sheet name="RECIBO CFE" sheetId="8" r:id="rId4"/>
    <sheet name="PPA proposal" sheetId="3" r:id="rId5"/>
    <sheet name="Solar vs Load" sheetId="4" r:id="rId6"/>
    <sheet name="Pay Fdo GTO" sheetId="5" r:id="rId7"/>
    <sheet name="EPC" sheetId="6" r:id="rId8"/>
    <sheet name="Energy Grid" sheetId="7" r:id="rId9"/>
    <sheet name="Hoja2" sheetId="10" r:id="rId10"/>
    <sheet name="Hoja3" sheetId="11" r:id="rId11"/>
  </sheets>
  <definedNames>
    <definedName name="_xlnm.Print_Area" localSheetId="0">Presentacion!$A$1:$BF$47</definedName>
    <definedName name="INPC">'main cash flow'!$AE$3</definedName>
    <definedName name="tc">'main cash flow'!$AE$1</definedName>
  </definedNames>
  <calcPr calcId="162913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7" i="3" l="1"/>
  <c r="B6" i="11" l="1"/>
  <c r="B7" i="11"/>
  <c r="B16" i="11" s="1"/>
  <c r="B8" i="11"/>
  <c r="B9" i="11"/>
  <c r="B10" i="11"/>
  <c r="B11" i="11"/>
  <c r="B12" i="11"/>
  <c r="B13" i="11"/>
  <c r="B14" i="11"/>
  <c r="B15" i="11"/>
  <c r="B5" i="11"/>
  <c r="B4" i="11"/>
  <c r="K16" i="7"/>
  <c r="I33" i="7"/>
  <c r="B19" i="11" l="1"/>
  <c r="B17" i="11"/>
  <c r="B18" i="11"/>
  <c r="K19" i="7"/>
  <c r="K18" i="7"/>
  <c r="K17" i="7"/>
  <c r="D24" i="5"/>
  <c r="E24" i="5"/>
  <c r="F24" i="5"/>
  <c r="G24" i="5"/>
  <c r="H24" i="5"/>
  <c r="I24" i="5"/>
  <c r="J24" i="5"/>
  <c r="C24" i="5"/>
  <c r="B1" i="2"/>
  <c r="C7" i="5"/>
  <c r="B9" i="5"/>
  <c r="B10" i="5"/>
  <c r="B11" i="5"/>
  <c r="B12" i="5"/>
  <c r="B13" i="5"/>
  <c r="B14" i="5"/>
  <c r="B15" i="5"/>
  <c r="B16" i="5"/>
  <c r="B17" i="5"/>
  <c r="B18" i="5"/>
  <c r="B8" i="5"/>
  <c r="B7" i="5"/>
  <c r="BF6" i="1" l="1"/>
  <c r="BD7" i="1"/>
  <c r="BD15" i="1"/>
  <c r="J6" i="4"/>
  <c r="J7" i="4"/>
  <c r="J8" i="4"/>
  <c r="J9" i="4"/>
  <c r="J10" i="4"/>
  <c r="J11" i="4"/>
  <c r="J12" i="4"/>
  <c r="J13" i="4"/>
  <c r="J14" i="4"/>
  <c r="J15" i="4"/>
  <c r="J16" i="4"/>
  <c r="J17" i="4"/>
  <c r="I4" i="6"/>
  <c r="AC17" i="1" l="1"/>
  <c r="M5" i="3"/>
  <c r="J13" i="3"/>
  <c r="K13" i="3" s="1"/>
  <c r="M13" i="3" s="1"/>
  <c r="G5" i="3"/>
  <c r="J5" i="3" s="1"/>
  <c r="K5" i="3" s="1"/>
  <c r="G6" i="3"/>
  <c r="J6" i="3" s="1"/>
  <c r="K6" i="3" s="1"/>
  <c r="M6" i="3" s="1"/>
  <c r="G7" i="3"/>
  <c r="J7" i="3" s="1"/>
  <c r="K7" i="3" s="1"/>
  <c r="M7" i="3" s="1"/>
  <c r="G8" i="3"/>
  <c r="J8" i="3" s="1"/>
  <c r="K8" i="3" s="1"/>
  <c r="M8" i="3" s="1"/>
  <c r="G9" i="3"/>
  <c r="J9" i="3" s="1"/>
  <c r="K9" i="3" s="1"/>
  <c r="M9" i="3" s="1"/>
  <c r="G10" i="3"/>
  <c r="J10" i="3" s="1"/>
  <c r="K10" i="3" s="1"/>
  <c r="M10" i="3" s="1"/>
  <c r="G11" i="3"/>
  <c r="J11" i="3" s="1"/>
  <c r="K11" i="3" s="1"/>
  <c r="M11" i="3" s="1"/>
  <c r="G12" i="3"/>
  <c r="J12" i="3" s="1"/>
  <c r="K12" i="3" s="1"/>
  <c r="M12" i="3" s="1"/>
  <c r="G13" i="3"/>
  <c r="G14" i="3"/>
  <c r="J14" i="3" s="1"/>
  <c r="K14" i="3" s="1"/>
  <c r="M14" i="3" s="1"/>
  <c r="G15" i="3"/>
  <c r="J15" i="3" s="1"/>
  <c r="K15" i="3" s="1"/>
  <c r="M15" i="3" s="1"/>
  <c r="G16" i="3"/>
  <c r="J16" i="3" s="1"/>
  <c r="K16" i="3" s="1"/>
  <c r="M16" i="3" s="1"/>
  <c r="C10" i="6"/>
  <c r="E28" i="5"/>
  <c r="F28" i="5"/>
  <c r="G28" i="5"/>
  <c r="H28" i="5"/>
  <c r="I28" i="5"/>
  <c r="K5" i="7" l="1"/>
  <c r="K6" i="7"/>
  <c r="K7" i="7"/>
  <c r="K8" i="7"/>
  <c r="K9" i="7"/>
  <c r="K10" i="7"/>
  <c r="K11" i="7"/>
  <c r="K12" i="7"/>
  <c r="K13" i="7"/>
  <c r="K14" i="7"/>
  <c r="K15" i="7"/>
  <c r="K4" i="7"/>
  <c r="K7" i="4"/>
  <c r="K8" i="4"/>
  <c r="K9" i="4"/>
  <c r="K10" i="4"/>
  <c r="K11" i="4"/>
  <c r="K12" i="4"/>
  <c r="K13" i="4"/>
  <c r="K14" i="4"/>
  <c r="K15" i="4"/>
  <c r="K16" i="4"/>
  <c r="K17" i="4"/>
  <c r="K6" i="4"/>
  <c r="I34" i="7" l="1"/>
  <c r="AR18" i="1"/>
  <c r="AR21" i="1" s="1"/>
  <c r="AS18" i="1"/>
  <c r="AS21" i="1" s="1"/>
  <c r="AT18" i="1"/>
  <c r="AT21" i="1" s="1"/>
  <c r="AU18" i="1"/>
  <c r="AU21" i="1" s="1"/>
  <c r="AV18" i="1"/>
  <c r="AV21" i="1" s="1"/>
  <c r="AW18" i="1"/>
  <c r="AW21" i="1" s="1"/>
  <c r="AX18" i="1"/>
  <c r="AQ18" i="1"/>
  <c r="AQ21" i="1" s="1"/>
  <c r="B4" i="6" l="1"/>
  <c r="I5" i="6" s="1"/>
  <c r="J5" i="6" s="1"/>
  <c r="L7" i="4"/>
  <c r="L8" i="4"/>
  <c r="L9" i="4"/>
  <c r="L10" i="4"/>
  <c r="L11" i="4"/>
  <c r="L12" i="4"/>
  <c r="L13" i="4"/>
  <c r="L14" i="4"/>
  <c r="L15" i="4"/>
  <c r="L16" i="4"/>
  <c r="L17" i="4"/>
  <c r="L6" i="4"/>
  <c r="S22" i="3"/>
  <c r="F4" i="3" s="1"/>
  <c r="AV7" i="1"/>
  <c r="AX6" i="1"/>
  <c r="R11" i="1"/>
  <c r="V10" i="1"/>
  <c r="R9" i="1"/>
  <c r="Z17" i="1"/>
  <c r="Z16" i="1"/>
  <c r="AC16" i="1"/>
  <c r="Y13" i="1"/>
  <c r="L14" i="7"/>
  <c r="L10" i="7"/>
  <c r="L6" i="7"/>
  <c r="H4" i="7"/>
  <c r="H5" i="7" s="1"/>
  <c r="M1" i="7"/>
  <c r="M10" i="7" s="1"/>
  <c r="C11" i="6"/>
  <c r="C12" i="6" s="1"/>
  <c r="D24" i="4"/>
  <c r="E23" i="4" s="1"/>
  <c r="E22" i="4"/>
  <c r="I18" i="4"/>
  <c r="B23" i="4" s="1"/>
  <c r="P26" i="3"/>
  <c r="S20" i="3"/>
  <c r="P28" i="3"/>
  <c r="D17" i="3"/>
  <c r="K25" i="3" s="1"/>
  <c r="K26" i="3" s="1"/>
  <c r="K27" i="3" s="1"/>
  <c r="AB18" i="2"/>
  <c r="AA18" i="2"/>
  <c r="Z18" i="2"/>
  <c r="Y18" i="2"/>
  <c r="X18" i="2"/>
  <c r="W18" i="2"/>
  <c r="V18" i="2"/>
  <c r="U18" i="2"/>
  <c r="T18" i="2"/>
  <c r="S18" i="2"/>
  <c r="R18" i="2"/>
  <c r="Q18" i="2"/>
  <c r="P18" i="2"/>
  <c r="O18" i="2"/>
  <c r="N18" i="2"/>
  <c r="M18" i="2"/>
  <c r="L18" i="2"/>
  <c r="K18" i="2"/>
  <c r="J18" i="2"/>
  <c r="I18" i="2"/>
  <c r="H18" i="2"/>
  <c r="G18" i="2"/>
  <c r="F18" i="2"/>
  <c r="E18" i="2"/>
  <c r="D18" i="2"/>
  <c r="B12" i="2"/>
  <c r="L9" i="7"/>
  <c r="L5" i="7"/>
  <c r="L13" i="7"/>
  <c r="M8" i="7"/>
  <c r="D3" i="2"/>
  <c r="L4" i="7"/>
  <c r="L8" i="7"/>
  <c r="L12" i="7"/>
  <c r="L7" i="7"/>
  <c r="L11" i="7"/>
  <c r="L15" i="7"/>
  <c r="K20" i="3"/>
  <c r="S23" i="3"/>
  <c r="AL7" i="1"/>
  <c r="AD7" i="1"/>
  <c r="AN6" i="1"/>
  <c r="AF6" i="1"/>
  <c r="X6" i="1"/>
  <c r="L16" i="7" l="1"/>
  <c r="M7" i="7"/>
  <c r="E21" i="3"/>
  <c r="G21" i="3" s="1"/>
  <c r="N1" i="7"/>
  <c r="M5" i="7"/>
  <c r="M11" i="7"/>
  <c r="M13" i="7"/>
  <c r="M14" i="7"/>
  <c r="M6" i="7"/>
  <c r="M15" i="7"/>
  <c r="M9" i="7"/>
  <c r="M12" i="7"/>
  <c r="M4" i="7"/>
  <c r="B19" i="2"/>
  <c r="BF15" i="1" s="1"/>
  <c r="AB13" i="1"/>
  <c r="E3" i="2"/>
  <c r="E10" i="2" s="1"/>
  <c r="E12" i="2" s="1"/>
  <c r="D10" i="2"/>
  <c r="D12" i="2" s="1"/>
  <c r="F22" i="4"/>
  <c r="L18" i="4"/>
  <c r="Q15" i="1"/>
  <c r="G17" i="3"/>
  <c r="T15" i="1" s="1"/>
  <c r="D18" i="3"/>
  <c r="J18" i="4"/>
  <c r="I19" i="4" s="1"/>
  <c r="B23" i="5" s="1"/>
  <c r="B24" i="5" s="1"/>
  <c r="F23" i="4"/>
  <c r="B22" i="4"/>
  <c r="B24" i="4" s="1"/>
  <c r="K19" i="3"/>
  <c r="K21" i="3" s="1"/>
  <c r="L19" i="7" l="1"/>
  <c r="L18" i="7"/>
  <c r="L17" i="7"/>
  <c r="M16" i="7"/>
  <c r="BE15" i="1"/>
  <c r="BF31" i="1"/>
  <c r="BF32" i="1" s="1"/>
  <c r="BF33" i="1" s="1"/>
  <c r="C9" i="5"/>
  <c r="D9" i="5" s="1"/>
  <c r="C16" i="5"/>
  <c r="D16" i="5" s="1"/>
  <c r="C10" i="5"/>
  <c r="D10" i="5" s="1"/>
  <c r="C11" i="5"/>
  <c r="D11" i="5" s="1"/>
  <c r="C12" i="5"/>
  <c r="D12" i="5" s="1"/>
  <c r="C14" i="5"/>
  <c r="D14" i="5" s="1"/>
  <c r="B4" i="2"/>
  <c r="D5" i="2" s="1"/>
  <c r="E5" i="2" s="1"/>
  <c r="F5" i="2" s="1"/>
  <c r="G5" i="2" s="1"/>
  <c r="H5" i="2" s="1"/>
  <c r="I5" i="2" s="1"/>
  <c r="J5" i="2" s="1"/>
  <c r="K5" i="2" s="1"/>
  <c r="L5" i="2" s="1"/>
  <c r="M5" i="2" s="1"/>
  <c r="N5" i="2" s="1"/>
  <c r="O5" i="2" s="1"/>
  <c r="P5" i="2" s="1"/>
  <c r="Q5" i="2" s="1"/>
  <c r="R5" i="2" s="1"/>
  <c r="S5" i="2" s="1"/>
  <c r="T5" i="2" s="1"/>
  <c r="U5" i="2" s="1"/>
  <c r="V5" i="2" s="1"/>
  <c r="W5" i="2" s="1"/>
  <c r="X5" i="2" s="1"/>
  <c r="Y5" i="2" s="1"/>
  <c r="Z5" i="2" s="1"/>
  <c r="AA5" i="2" s="1"/>
  <c r="AB5" i="2" s="1"/>
  <c r="C17" i="5"/>
  <c r="D17" i="5" s="1"/>
  <c r="C13" i="5"/>
  <c r="D13" i="5" s="1"/>
  <c r="E13" i="5" s="1"/>
  <c r="F13" i="5" s="1"/>
  <c r="G13" i="5" s="1"/>
  <c r="H13" i="5" s="1"/>
  <c r="I13" i="5" s="1"/>
  <c r="J13" i="5" s="1"/>
  <c r="M17" i="3"/>
  <c r="M18" i="3" s="1"/>
  <c r="W15" i="1" s="1"/>
  <c r="C15" i="5"/>
  <c r="D15" i="5" s="1"/>
  <c r="C18" i="5"/>
  <c r="D18" i="5" s="1"/>
  <c r="E18" i="5" s="1"/>
  <c r="F18" i="5" s="1"/>
  <c r="G18" i="5" s="1"/>
  <c r="H18" i="5" s="1"/>
  <c r="I18" i="5" s="1"/>
  <c r="J18" i="5" s="1"/>
  <c r="A21" i="2"/>
  <c r="F3" i="2"/>
  <c r="N5" i="7"/>
  <c r="N10" i="7"/>
  <c r="N15" i="7"/>
  <c r="N9" i="7"/>
  <c r="N13" i="7"/>
  <c r="N6" i="7"/>
  <c r="N11" i="7"/>
  <c r="N8" i="7"/>
  <c r="N12" i="7"/>
  <c r="N14" i="7"/>
  <c r="N7" i="7"/>
  <c r="O1" i="7"/>
  <c r="N4" i="7"/>
  <c r="B15" i="2"/>
  <c r="F26" i="2" s="1"/>
  <c r="I21" i="4"/>
  <c r="J17" i="3"/>
  <c r="S21" i="3"/>
  <c r="AE15" i="1"/>
  <c r="AP16" i="1"/>
  <c r="M19" i="7" l="1"/>
  <c r="M18" i="7"/>
  <c r="M17" i="7"/>
  <c r="N16" i="7"/>
  <c r="F8" i="2"/>
  <c r="C20" i="2"/>
  <c r="C27" i="2"/>
  <c r="F10" i="2"/>
  <c r="F12" i="2" s="1"/>
  <c r="E14" i="5"/>
  <c r="F14" i="5" s="1"/>
  <c r="G14" i="5" s="1"/>
  <c r="H14" i="5" s="1"/>
  <c r="I14" i="5" s="1"/>
  <c r="J14" i="5" s="1"/>
  <c r="E15" i="5"/>
  <c r="F15" i="5" s="1"/>
  <c r="G15" i="5" s="1"/>
  <c r="H15" i="5" s="1"/>
  <c r="I15" i="5" s="1"/>
  <c r="J15" i="5" s="1"/>
  <c r="E11" i="5"/>
  <c r="F11" i="5" s="1"/>
  <c r="G11" i="5" s="1"/>
  <c r="H11" i="5" s="1"/>
  <c r="I11" i="5" s="1"/>
  <c r="J11" i="5" s="1"/>
  <c r="E10" i="5"/>
  <c r="F10" i="5" s="1"/>
  <c r="G10" i="5" s="1"/>
  <c r="H10" i="5" s="1"/>
  <c r="I10" i="5" s="1"/>
  <c r="J10" i="5" s="1"/>
  <c r="E17" i="5"/>
  <c r="F17" i="5" s="1"/>
  <c r="G17" i="5" s="1"/>
  <c r="H17" i="5" s="1"/>
  <c r="I17" i="5" s="1"/>
  <c r="J17" i="5" s="1"/>
  <c r="E12" i="5"/>
  <c r="F12" i="5" s="1"/>
  <c r="G12" i="5" s="1"/>
  <c r="H12" i="5" s="1"/>
  <c r="I12" i="5" s="1"/>
  <c r="J12" i="5" s="1"/>
  <c r="E16" i="5"/>
  <c r="F16" i="5" s="1"/>
  <c r="G16" i="5" s="1"/>
  <c r="H16" i="5" s="1"/>
  <c r="I16" i="5" s="1"/>
  <c r="J16" i="5" s="1"/>
  <c r="E9" i="5"/>
  <c r="F9" i="5" s="1"/>
  <c r="G9" i="5" s="1"/>
  <c r="H9" i="5" s="1"/>
  <c r="I9" i="5" s="1"/>
  <c r="J9" i="5" s="1"/>
  <c r="E8" i="2"/>
  <c r="E14" i="2" s="1"/>
  <c r="E20" i="2" s="1"/>
  <c r="E27" i="2" s="1"/>
  <c r="C8" i="5"/>
  <c r="D8" i="5" s="1"/>
  <c r="E8" i="5" s="1"/>
  <c r="F8" i="5" s="1"/>
  <c r="G8" i="5" s="1"/>
  <c r="H8" i="5" s="1"/>
  <c r="I8" i="5" s="1"/>
  <c r="J8" i="5" s="1"/>
  <c r="K13" i="5"/>
  <c r="K18" i="5"/>
  <c r="D8" i="2"/>
  <c r="D14" i="2" s="1"/>
  <c r="D20" i="2" s="1"/>
  <c r="D23" i="2" s="1"/>
  <c r="O6" i="7"/>
  <c r="O15" i="7"/>
  <c r="O12" i="7"/>
  <c r="O7" i="7"/>
  <c r="O13" i="7"/>
  <c r="O9" i="7"/>
  <c r="O14" i="7"/>
  <c r="P1" i="7"/>
  <c r="O4" i="7"/>
  <c r="O8" i="7"/>
  <c r="O10" i="7"/>
  <c r="O5" i="7"/>
  <c r="O11" i="7"/>
  <c r="N19" i="7" l="1"/>
  <c r="N18" i="7"/>
  <c r="N17" i="7"/>
  <c r="G3" i="2"/>
  <c r="G8" i="2" s="1"/>
  <c r="O16" i="7"/>
  <c r="K10" i="5"/>
  <c r="D27" i="2"/>
  <c r="D30" i="2" s="1"/>
  <c r="E30" i="2" s="1"/>
  <c r="E31" i="2" s="1"/>
  <c r="K12" i="5"/>
  <c r="K9" i="5"/>
  <c r="K15" i="5"/>
  <c r="C19" i="5"/>
  <c r="C22" i="5" s="1"/>
  <c r="F14" i="2"/>
  <c r="F20" i="2" s="1"/>
  <c r="F27" i="2" s="1"/>
  <c r="K8" i="5"/>
  <c r="E23" i="2"/>
  <c r="E24" i="2" s="1"/>
  <c r="D24" i="2"/>
  <c r="K16" i="5"/>
  <c r="K11" i="5"/>
  <c r="K17" i="5"/>
  <c r="K14" i="5"/>
  <c r="G10" i="2"/>
  <c r="G12" i="2" s="1"/>
  <c r="H3" i="2"/>
  <c r="P7" i="7"/>
  <c r="P12" i="7"/>
  <c r="P9" i="7"/>
  <c r="P15" i="7"/>
  <c r="P6" i="7"/>
  <c r="P14" i="7"/>
  <c r="P8" i="7"/>
  <c r="P4" i="7"/>
  <c r="P13" i="7"/>
  <c r="P11" i="7"/>
  <c r="P5" i="7"/>
  <c r="Q1" i="7"/>
  <c r="P10" i="7"/>
  <c r="D7" i="5"/>
  <c r="E7" i="5" s="1"/>
  <c r="F7" i="5" s="1"/>
  <c r="G7" i="5" s="1"/>
  <c r="H7" i="5" s="1"/>
  <c r="I7" i="5" s="1"/>
  <c r="J7" i="5" s="1"/>
  <c r="O19" i="7" l="1"/>
  <c r="O18" i="7"/>
  <c r="O17" i="7"/>
  <c r="P16" i="7"/>
  <c r="D31" i="2"/>
  <c r="D19" i="5"/>
  <c r="E19" i="5" s="1"/>
  <c r="F23" i="2"/>
  <c r="F24" i="2" s="1"/>
  <c r="F30" i="2"/>
  <c r="F31" i="2" s="1"/>
  <c r="AQ15" i="1"/>
  <c r="Y29" i="1"/>
  <c r="G14" i="2"/>
  <c r="G20" i="2" s="1"/>
  <c r="Q10" i="7"/>
  <c r="Q4" i="7"/>
  <c r="Q5" i="7"/>
  <c r="Q13" i="7"/>
  <c r="Q14" i="7"/>
  <c r="Q12" i="7"/>
  <c r="Q9" i="7"/>
  <c r="Q6" i="7"/>
  <c r="Q8" i="7"/>
  <c r="Q15" i="7"/>
  <c r="R1" i="7"/>
  <c r="Q7" i="7"/>
  <c r="Q11" i="7"/>
  <c r="H10" i="2"/>
  <c r="H12" i="2" s="1"/>
  <c r="H8" i="2"/>
  <c r="C28" i="5"/>
  <c r="AB29" i="1"/>
  <c r="AB32" i="1" s="1"/>
  <c r="C23" i="5"/>
  <c r="K7" i="5"/>
  <c r="K19" i="5" s="1"/>
  <c r="P19" i="7" l="1"/>
  <c r="P18" i="7"/>
  <c r="P17" i="7"/>
  <c r="I3" i="2"/>
  <c r="I10" i="2" s="1"/>
  <c r="I12" i="2" s="1"/>
  <c r="Q16" i="7"/>
  <c r="D22" i="5"/>
  <c r="AR15" i="1" s="1"/>
  <c r="H14" i="2"/>
  <c r="H20" i="2" s="1"/>
  <c r="H27" i="2" s="1"/>
  <c r="J3" i="2"/>
  <c r="G27" i="2"/>
  <c r="G23" i="2"/>
  <c r="I8" i="2"/>
  <c r="R4" i="7"/>
  <c r="R6" i="7"/>
  <c r="R14" i="7"/>
  <c r="R8" i="7"/>
  <c r="R9" i="7"/>
  <c r="R5" i="7"/>
  <c r="R11" i="7"/>
  <c r="S1" i="7"/>
  <c r="R13" i="7"/>
  <c r="R7" i="7"/>
  <c r="R15" i="7"/>
  <c r="R12" i="7"/>
  <c r="R10" i="7"/>
  <c r="C26" i="5"/>
  <c r="AQ16" i="1"/>
  <c r="AQ19" i="1" s="1"/>
  <c r="D23" i="5"/>
  <c r="D28" i="5"/>
  <c r="AE29" i="1"/>
  <c r="AE32" i="1" s="1"/>
  <c r="Y32" i="1"/>
  <c r="F19" i="5"/>
  <c r="E22" i="5"/>
  <c r="AS15" i="1" s="1"/>
  <c r="Q19" i="7" l="1"/>
  <c r="Q18" i="7"/>
  <c r="Q17" i="7"/>
  <c r="R16" i="7"/>
  <c r="I14" i="2"/>
  <c r="I20" i="2" s="1"/>
  <c r="G30" i="2"/>
  <c r="G29" i="2"/>
  <c r="Z38" i="1" s="1"/>
  <c r="H23" i="2"/>
  <c r="G24" i="2"/>
  <c r="G22" i="2" s="1"/>
  <c r="S13" i="7"/>
  <c r="S10" i="7"/>
  <c r="S11" i="7"/>
  <c r="S9" i="7"/>
  <c r="S14" i="7"/>
  <c r="S15" i="7"/>
  <c r="T1" i="7"/>
  <c r="S12" i="7"/>
  <c r="S5" i="7"/>
  <c r="S7" i="7"/>
  <c r="S8" i="7"/>
  <c r="S6" i="7"/>
  <c r="S4" i="7"/>
  <c r="J8" i="2"/>
  <c r="J10" i="2"/>
  <c r="J12" i="2" s="1"/>
  <c r="D26" i="5"/>
  <c r="AR16" i="1"/>
  <c r="AR19" i="1" s="1"/>
  <c r="E23" i="5"/>
  <c r="G19" i="5"/>
  <c r="F22" i="5"/>
  <c r="AT15" i="1" s="1"/>
  <c r="R19" i="7" l="1"/>
  <c r="R18" i="7"/>
  <c r="R17" i="7"/>
  <c r="S16" i="7"/>
  <c r="K3" i="2"/>
  <c r="K8" i="2" s="1"/>
  <c r="K10" i="2"/>
  <c r="K12" i="2" s="1"/>
  <c r="K14" i="2" s="1"/>
  <c r="K20" i="2" s="1"/>
  <c r="K27" i="2" s="1"/>
  <c r="J14" i="2"/>
  <c r="J20" i="2" s="1"/>
  <c r="J27" i="2" s="1"/>
  <c r="I23" i="2"/>
  <c r="H24" i="2"/>
  <c r="I27" i="2"/>
  <c r="H30" i="2"/>
  <c r="G31" i="2"/>
  <c r="T10" i="7"/>
  <c r="T13" i="7"/>
  <c r="T15" i="7"/>
  <c r="T6" i="7"/>
  <c r="T4" i="7"/>
  <c r="T8" i="7"/>
  <c r="T14" i="7"/>
  <c r="T12" i="7"/>
  <c r="T11" i="7"/>
  <c r="T7" i="7"/>
  <c r="T5" i="7"/>
  <c r="U1" i="7"/>
  <c r="T9" i="7"/>
  <c r="E26" i="5"/>
  <c r="AS16" i="1"/>
  <c r="AS19" i="1" s="1"/>
  <c r="F23" i="5"/>
  <c r="H19" i="5"/>
  <c r="G22" i="5"/>
  <c r="AU15" i="1" s="1"/>
  <c r="S19" i="7" l="1"/>
  <c r="S18" i="7"/>
  <c r="S17" i="7"/>
  <c r="L3" i="2"/>
  <c r="L10" i="2" s="1"/>
  <c r="L12" i="2" s="1"/>
  <c r="T16" i="7"/>
  <c r="U12" i="7"/>
  <c r="U14" i="7"/>
  <c r="U11" i="7"/>
  <c r="U13" i="7"/>
  <c r="U8" i="7"/>
  <c r="U10" i="7"/>
  <c r="U9" i="7"/>
  <c r="V1" i="7"/>
  <c r="U7" i="7"/>
  <c r="U4" i="7"/>
  <c r="U6" i="7"/>
  <c r="U15" i="7"/>
  <c r="U5" i="7"/>
  <c r="I30" i="2"/>
  <c r="H31" i="2"/>
  <c r="M3" i="2"/>
  <c r="L8" i="2"/>
  <c r="J23" i="2"/>
  <c r="I24" i="2"/>
  <c r="F26" i="5"/>
  <c r="AT16" i="1"/>
  <c r="AT19" i="1" s="1"/>
  <c r="G23" i="5"/>
  <c r="H22" i="5"/>
  <c r="AV15" i="1" s="1"/>
  <c r="I19" i="5"/>
  <c r="T19" i="7" l="1"/>
  <c r="T18" i="7"/>
  <c r="T17" i="7"/>
  <c r="U16" i="7"/>
  <c r="L14" i="2"/>
  <c r="L20" i="2" s="1"/>
  <c r="L27" i="2" s="1"/>
  <c r="M10" i="2"/>
  <c r="M12" i="2" s="1"/>
  <c r="M8" i="2"/>
  <c r="V14" i="7"/>
  <c r="V9" i="7"/>
  <c r="V13" i="7"/>
  <c r="W1" i="7"/>
  <c r="V15" i="7"/>
  <c r="V8" i="7"/>
  <c r="V12" i="7"/>
  <c r="V10" i="7"/>
  <c r="V11" i="7"/>
  <c r="V4" i="7"/>
  <c r="V6" i="7"/>
  <c r="V7" i="7"/>
  <c r="V5" i="7"/>
  <c r="J30" i="2"/>
  <c r="I31" i="2"/>
  <c r="K23" i="2"/>
  <c r="J24" i="2"/>
  <c r="G26" i="5"/>
  <c r="AU16" i="1"/>
  <c r="AU19" i="1" s="1"/>
  <c r="I22" i="5"/>
  <c r="AW15" i="1" s="1"/>
  <c r="J19" i="5"/>
  <c r="J22" i="5" s="1"/>
  <c r="AX15" i="1" s="1"/>
  <c r="AX21" i="1" s="1"/>
  <c r="H23" i="5"/>
  <c r="U19" i="7" l="1"/>
  <c r="U18" i="7"/>
  <c r="U17" i="7"/>
  <c r="N3" i="2"/>
  <c r="N10" i="2" s="1"/>
  <c r="N12" i="2" s="1"/>
  <c r="V16" i="7"/>
  <c r="M14" i="2"/>
  <c r="M20" i="2" s="1"/>
  <c r="M27" i="2" s="1"/>
  <c r="O3" i="2"/>
  <c r="O8" i="2" s="1"/>
  <c r="K30" i="2"/>
  <c r="J31" i="2"/>
  <c r="N8" i="2"/>
  <c r="W6" i="7"/>
  <c r="W11" i="7"/>
  <c r="W12" i="7"/>
  <c r="X1" i="7"/>
  <c r="W4" i="7"/>
  <c r="W13" i="7"/>
  <c r="W14" i="7"/>
  <c r="W7" i="7"/>
  <c r="W8" i="7"/>
  <c r="W5" i="7"/>
  <c r="W15" i="7"/>
  <c r="W9" i="7"/>
  <c r="W10" i="7"/>
  <c r="L23" i="2"/>
  <c r="K24" i="2"/>
  <c r="H26" i="5"/>
  <c r="AV16" i="1"/>
  <c r="AV19" i="1" s="1"/>
  <c r="J23" i="5"/>
  <c r="AX16" i="1" s="1"/>
  <c r="AX19" i="1" s="1"/>
  <c r="J28" i="5"/>
  <c r="I23" i="5"/>
  <c r="V19" i="7" l="1"/>
  <c r="V18" i="7"/>
  <c r="V17" i="7"/>
  <c r="W16" i="7"/>
  <c r="O10" i="2"/>
  <c r="O12" i="2" s="1"/>
  <c r="O14" i="2" s="1"/>
  <c r="O20" i="2" s="1"/>
  <c r="O27" i="2" s="1"/>
  <c r="N14" i="2"/>
  <c r="N20" i="2" s="1"/>
  <c r="N27" i="2" s="1"/>
  <c r="L24" i="2"/>
  <c r="M23" i="2"/>
  <c r="X11" i="7"/>
  <c r="Y1" i="7"/>
  <c r="X6" i="7"/>
  <c r="X7" i="7"/>
  <c r="X4" i="7"/>
  <c r="X13" i="7"/>
  <c r="X12" i="7"/>
  <c r="X10" i="7"/>
  <c r="X5" i="7"/>
  <c r="X9" i="7"/>
  <c r="X8" i="7"/>
  <c r="X14" i="7"/>
  <c r="X15" i="7"/>
  <c r="L30" i="2"/>
  <c r="K31" i="2"/>
  <c r="I26" i="5"/>
  <c r="AW16" i="1"/>
  <c r="AW19" i="1" s="1"/>
  <c r="W19" i="7" l="1"/>
  <c r="W18" i="7"/>
  <c r="W17" i="7"/>
  <c r="P3" i="2"/>
  <c r="P10" i="2" s="1"/>
  <c r="P12" i="2" s="1"/>
  <c r="X16" i="7"/>
  <c r="Q3" i="2"/>
  <c r="P8" i="2"/>
  <c r="M24" i="2"/>
  <c r="N23" i="2"/>
  <c r="M30" i="2"/>
  <c r="L31" i="2"/>
  <c r="Y6" i="7"/>
  <c r="Z1" i="7"/>
  <c r="Y11" i="7"/>
  <c r="Y5" i="7"/>
  <c r="Y10" i="7"/>
  <c r="Y8" i="7"/>
  <c r="Y9" i="7"/>
  <c r="Y14" i="7"/>
  <c r="Y4" i="7"/>
  <c r="Y15" i="7"/>
  <c r="Y13" i="7"/>
  <c r="Y7" i="7"/>
  <c r="Y12" i="7"/>
  <c r="X19" i="7" l="1"/>
  <c r="X18" i="7"/>
  <c r="X17" i="7"/>
  <c r="Y16" i="7"/>
  <c r="P14" i="2"/>
  <c r="P20" i="2" s="1"/>
  <c r="P27" i="2" s="1"/>
  <c r="N30" i="2"/>
  <c r="M31" i="2"/>
  <c r="Z4" i="7"/>
  <c r="Z8" i="7"/>
  <c r="Z15" i="7"/>
  <c r="Z9" i="7"/>
  <c r="Z13" i="7"/>
  <c r="AA1" i="7"/>
  <c r="Z6" i="7"/>
  <c r="Z5" i="7"/>
  <c r="Z10" i="7"/>
  <c r="Z7" i="7"/>
  <c r="Z12" i="7"/>
  <c r="Z11" i="7"/>
  <c r="Z14" i="7"/>
  <c r="O23" i="2"/>
  <c r="N24" i="2"/>
  <c r="Q8" i="2"/>
  <c r="Q10" i="2"/>
  <c r="Q12" i="2" s="1"/>
  <c r="Y19" i="7" l="1"/>
  <c r="Y18" i="7"/>
  <c r="Y17" i="7"/>
  <c r="R3" i="2"/>
  <c r="R8" i="2" s="1"/>
  <c r="Z16" i="7"/>
  <c r="Q14" i="2"/>
  <c r="Q20" i="2" s="1"/>
  <c r="Q27" i="2" s="1"/>
  <c r="S3" i="2"/>
  <c r="R10" i="2"/>
  <c r="R12" i="2" s="1"/>
  <c r="AA5" i="7"/>
  <c r="AA14" i="7"/>
  <c r="AA15" i="7"/>
  <c r="AA7" i="7"/>
  <c r="AA12" i="7"/>
  <c r="AA11" i="7"/>
  <c r="AA13" i="7"/>
  <c r="AA6" i="7"/>
  <c r="AA10" i="7"/>
  <c r="AA4" i="7"/>
  <c r="AB1" i="7"/>
  <c r="AA9" i="7"/>
  <c r="AA8" i="7"/>
  <c r="P23" i="2"/>
  <c r="O24" i="2"/>
  <c r="O30" i="2"/>
  <c r="N31" i="2"/>
  <c r="Z19" i="7" l="1"/>
  <c r="Z18" i="7"/>
  <c r="Z17" i="7"/>
  <c r="AA16" i="7"/>
  <c r="R14" i="2"/>
  <c r="R20" i="2" s="1"/>
  <c r="R27" i="2" s="1"/>
  <c r="AB10" i="7"/>
  <c r="AB11" i="7"/>
  <c r="AB7" i="7"/>
  <c r="AB6" i="7"/>
  <c r="AB15" i="7"/>
  <c r="AB9" i="7"/>
  <c r="AC1" i="7"/>
  <c r="AB13" i="7"/>
  <c r="AB14" i="7"/>
  <c r="AB12" i="7"/>
  <c r="AB4" i="7"/>
  <c r="AB5" i="7"/>
  <c r="AB8" i="7"/>
  <c r="P30" i="2"/>
  <c r="O31" i="2"/>
  <c r="Q23" i="2"/>
  <c r="P24" i="2"/>
  <c r="S10" i="2"/>
  <c r="S12" i="2" s="1"/>
  <c r="S8" i="2"/>
  <c r="AA19" i="7" l="1"/>
  <c r="AA18" i="7"/>
  <c r="AA17" i="7"/>
  <c r="T3" i="2"/>
  <c r="T8" i="2" s="1"/>
  <c r="AB16" i="7"/>
  <c r="S14" i="2"/>
  <c r="S20" i="2" s="1"/>
  <c r="S27" i="2" s="1"/>
  <c r="AC8" i="7"/>
  <c r="AC6" i="7"/>
  <c r="AC11" i="7"/>
  <c r="AD1" i="7"/>
  <c r="AC9" i="7"/>
  <c r="AC15" i="7"/>
  <c r="AC14" i="7"/>
  <c r="AC13" i="7"/>
  <c r="AC12" i="7"/>
  <c r="AC10" i="7"/>
  <c r="AC5" i="7"/>
  <c r="AC7" i="7"/>
  <c r="AC4" i="7"/>
  <c r="T10" i="2"/>
  <c r="T12" i="2" s="1"/>
  <c r="R23" i="2"/>
  <c r="Q24" i="2"/>
  <c r="U3" i="2"/>
  <c r="Q30" i="2"/>
  <c r="P31" i="2"/>
  <c r="AB19" i="7" l="1"/>
  <c r="AB18" i="7"/>
  <c r="AB17" i="7"/>
  <c r="AC16" i="7"/>
  <c r="T14" i="2"/>
  <c r="T20" i="2" s="1"/>
  <c r="T27" i="2" s="1"/>
  <c r="S23" i="2"/>
  <c r="R24" i="2"/>
  <c r="AE1" i="7"/>
  <c r="AD15" i="7"/>
  <c r="AD8" i="7"/>
  <c r="AD12" i="7"/>
  <c r="AD14" i="7"/>
  <c r="AD11" i="7"/>
  <c r="AD13" i="7"/>
  <c r="AD7" i="7"/>
  <c r="AD10" i="7"/>
  <c r="AD5" i="7"/>
  <c r="AD9" i="7"/>
  <c r="AD6" i="7"/>
  <c r="AD4" i="7"/>
  <c r="R30" i="2"/>
  <c r="Q31" i="2"/>
  <c r="U10" i="2"/>
  <c r="U12" i="2" s="1"/>
  <c r="U8" i="2"/>
  <c r="AC19" i="7" l="1"/>
  <c r="AC18" i="7"/>
  <c r="AC17" i="7"/>
  <c r="V3" i="2"/>
  <c r="V10" i="2" s="1"/>
  <c r="V12" i="2" s="1"/>
  <c r="AD16" i="7"/>
  <c r="U14" i="2"/>
  <c r="U20" i="2" s="1"/>
  <c r="U27" i="2" s="1"/>
  <c r="V8" i="2"/>
  <c r="W3" i="2"/>
  <c r="AE15" i="7"/>
  <c r="AE13" i="7"/>
  <c r="AE4" i="7"/>
  <c r="AE14" i="7"/>
  <c r="AE11" i="7"/>
  <c r="AE5" i="7"/>
  <c r="AE8" i="7"/>
  <c r="AE10" i="7"/>
  <c r="AE9" i="7"/>
  <c r="AE6" i="7"/>
  <c r="AE12" i="7"/>
  <c r="AE7" i="7"/>
  <c r="AF1" i="7"/>
  <c r="S30" i="2"/>
  <c r="R31" i="2"/>
  <c r="T23" i="2"/>
  <c r="S24" i="2"/>
  <c r="AD19" i="7" l="1"/>
  <c r="AD18" i="7"/>
  <c r="AD17" i="7"/>
  <c r="AE16" i="7"/>
  <c r="V14" i="2"/>
  <c r="V20" i="2" s="1"/>
  <c r="V27" i="2" s="1"/>
  <c r="W8" i="2"/>
  <c r="W10" i="2"/>
  <c r="W12" i="2" s="1"/>
  <c r="AF7" i="7"/>
  <c r="AF6" i="7"/>
  <c r="AF4" i="7"/>
  <c r="AF12" i="7"/>
  <c r="AF9" i="7"/>
  <c r="AF5" i="7"/>
  <c r="AF8" i="7"/>
  <c r="AF14" i="7"/>
  <c r="AF15" i="7"/>
  <c r="AG1" i="7"/>
  <c r="AF10" i="7"/>
  <c r="AF11" i="7"/>
  <c r="AF13" i="7"/>
  <c r="U23" i="2"/>
  <c r="T24" i="2"/>
  <c r="T30" i="2"/>
  <c r="S31" i="2"/>
  <c r="AE19" i="7" l="1"/>
  <c r="AE18" i="7"/>
  <c r="AE17" i="7"/>
  <c r="X3" i="2"/>
  <c r="X10" i="2" s="1"/>
  <c r="X12" i="2" s="1"/>
  <c r="AF16" i="7"/>
  <c r="AG10" i="7"/>
  <c r="AG4" i="7"/>
  <c r="AG11" i="7"/>
  <c r="AG6" i="7"/>
  <c r="AG7" i="7"/>
  <c r="AG5" i="7"/>
  <c r="AG8" i="7"/>
  <c r="AG14" i="7"/>
  <c r="AH1" i="7"/>
  <c r="AG15" i="7"/>
  <c r="AG12" i="7"/>
  <c r="AG9" i="7"/>
  <c r="AG13" i="7"/>
  <c r="U30" i="2"/>
  <c r="T31" i="2"/>
  <c r="X8" i="2"/>
  <c r="V23" i="2"/>
  <c r="U24" i="2"/>
  <c r="Y3" i="2"/>
  <c r="W14" i="2"/>
  <c r="W20" i="2" s="1"/>
  <c r="W27" i="2" s="1"/>
  <c r="AF19" i="7" l="1"/>
  <c r="AF18" i="7"/>
  <c r="AF17" i="7"/>
  <c r="AG16" i="7"/>
  <c r="Y10" i="2"/>
  <c r="Y12" i="2" s="1"/>
  <c r="Y8" i="2"/>
  <c r="W23" i="2"/>
  <c r="V24" i="2"/>
  <c r="V30" i="2"/>
  <c r="U31" i="2"/>
  <c r="X14" i="2"/>
  <c r="X20" i="2" s="1"/>
  <c r="X27" i="2" s="1"/>
  <c r="AH12" i="7"/>
  <c r="AH5" i="7"/>
  <c r="AH4" i="7"/>
  <c r="AH10" i="7"/>
  <c r="AH14" i="7"/>
  <c r="AH9" i="7"/>
  <c r="AH6" i="7"/>
  <c r="AH11" i="7"/>
  <c r="AH7" i="7"/>
  <c r="AH8" i="7"/>
  <c r="AI1" i="7"/>
  <c r="AH15" i="7"/>
  <c r="AH13" i="7"/>
  <c r="AG19" i="7" l="1"/>
  <c r="AG18" i="7"/>
  <c r="AG17" i="7"/>
  <c r="Z3" i="2"/>
  <c r="Z8" i="2" s="1"/>
  <c r="AH16" i="7"/>
  <c r="Y14" i="2"/>
  <c r="Y20" i="2" s="1"/>
  <c r="Y27" i="2" s="1"/>
  <c r="AA3" i="2"/>
  <c r="X23" i="2"/>
  <c r="W24" i="2"/>
  <c r="AI11" i="7"/>
  <c r="AI7" i="7"/>
  <c r="AI10" i="7"/>
  <c r="AI4" i="7"/>
  <c r="AI6" i="7"/>
  <c r="AI15" i="7"/>
  <c r="AI13" i="7"/>
  <c r="AI9" i="7"/>
  <c r="AJ1" i="7"/>
  <c r="AI14" i="7"/>
  <c r="AI12" i="7"/>
  <c r="AI8" i="7"/>
  <c r="AI5" i="7"/>
  <c r="Z10" i="2"/>
  <c r="Z12" i="2" s="1"/>
  <c r="W30" i="2"/>
  <c r="V31" i="2"/>
  <c r="AH19" i="7" l="1"/>
  <c r="AH18" i="7"/>
  <c r="AH17" i="7"/>
  <c r="AI16" i="7"/>
  <c r="Z14" i="2"/>
  <c r="Z20" i="2" s="1"/>
  <c r="Z27" i="2" s="1"/>
  <c r="X30" i="2"/>
  <c r="W31" i="2"/>
  <c r="Y23" i="2"/>
  <c r="X24" i="2"/>
  <c r="AJ10" i="7"/>
  <c r="AJ11" i="7"/>
  <c r="AJ9" i="7"/>
  <c r="AJ8" i="7"/>
  <c r="AJ15" i="7"/>
  <c r="AJ6" i="7"/>
  <c r="AK1" i="7"/>
  <c r="AJ13" i="7"/>
  <c r="AJ7" i="7"/>
  <c r="AJ5" i="7"/>
  <c r="AJ14" i="7"/>
  <c r="AJ12" i="7"/>
  <c r="AJ4" i="7"/>
  <c r="AA10" i="2"/>
  <c r="AA12" i="2" s="1"/>
  <c r="AA8" i="2"/>
  <c r="AI19" i="7" l="1"/>
  <c r="AI18" i="7"/>
  <c r="AI17" i="7"/>
  <c r="AB3" i="2"/>
  <c r="AB8" i="2" s="1"/>
  <c r="AJ16" i="7"/>
  <c r="AA14" i="2"/>
  <c r="AA20" i="2" s="1"/>
  <c r="AA27" i="2" s="1"/>
  <c r="AK12" i="7"/>
  <c r="AK6" i="7"/>
  <c r="AK15" i="7"/>
  <c r="AK8" i="7"/>
  <c r="AK4" i="7"/>
  <c r="AK11" i="7"/>
  <c r="AK9" i="7"/>
  <c r="AK10" i="7"/>
  <c r="AK7" i="7"/>
  <c r="AK13" i="7"/>
  <c r="AK14" i="7"/>
  <c r="AK5" i="7"/>
  <c r="AL1" i="7"/>
  <c r="Z23" i="2"/>
  <c r="Y24" i="2"/>
  <c r="AB10" i="2"/>
  <c r="AB12" i="2" s="1"/>
  <c r="B3" i="2"/>
  <c r="Y30" i="2"/>
  <c r="X31" i="2"/>
  <c r="AJ19" i="7" l="1"/>
  <c r="AJ18" i="7"/>
  <c r="AJ17" i="7"/>
  <c r="AK16" i="7"/>
  <c r="Z30" i="2"/>
  <c r="Y31" i="2"/>
  <c r="AA23" i="2"/>
  <c r="Z24" i="2"/>
  <c r="AB14" i="2"/>
  <c r="AB20" i="2" s="1"/>
  <c r="AL6" i="7"/>
  <c r="AL5" i="7"/>
  <c r="AL12" i="7"/>
  <c r="AL15" i="7"/>
  <c r="AM1" i="7"/>
  <c r="AL11" i="7"/>
  <c r="AL4" i="7"/>
  <c r="AL9" i="7"/>
  <c r="AL8" i="7"/>
  <c r="AL10" i="7"/>
  <c r="AL7" i="7"/>
  <c r="AL13" i="7"/>
  <c r="AL14" i="7"/>
  <c r="AK19" i="7" l="1"/>
  <c r="AK18" i="7"/>
  <c r="AK17" i="7"/>
  <c r="AL16" i="7"/>
  <c r="AB23" i="2"/>
  <c r="AB24" i="2" s="1"/>
  <c r="AA24" i="2"/>
  <c r="AM6" i="7"/>
  <c r="AM15" i="7"/>
  <c r="AM9" i="7"/>
  <c r="AM11" i="7"/>
  <c r="AM7" i="7"/>
  <c r="AM5" i="7"/>
  <c r="AM13" i="7"/>
  <c r="AM4" i="7"/>
  <c r="AM10" i="7"/>
  <c r="AN1" i="7"/>
  <c r="AM12" i="7"/>
  <c r="AM8" i="7"/>
  <c r="AM14" i="7"/>
  <c r="AB27" i="2"/>
  <c r="C28" i="2" s="1"/>
  <c r="C21" i="2"/>
  <c r="AC38" i="1" s="1"/>
  <c r="AA30" i="2"/>
  <c r="Z31" i="2"/>
  <c r="AL19" i="7" l="1"/>
  <c r="AL18" i="7"/>
  <c r="AL17" i="7"/>
  <c r="AM16" i="7"/>
  <c r="AN15" i="7"/>
  <c r="AN14" i="7"/>
  <c r="AN5" i="7"/>
  <c r="AN13" i="7"/>
  <c r="AN11" i="7"/>
  <c r="AN9" i="7"/>
  <c r="AN10" i="7"/>
  <c r="AN12" i="7"/>
  <c r="AN8" i="7"/>
  <c r="AN6" i="7"/>
  <c r="AN4" i="7"/>
  <c r="AN7" i="7"/>
  <c r="AB30" i="2"/>
  <c r="AB31" i="2" s="1"/>
  <c r="AA31" i="2"/>
  <c r="AM19" i="7" l="1"/>
  <c r="AM18" i="7"/>
  <c r="AM17" i="7"/>
  <c r="AN16" i="7"/>
  <c r="AN19" i="7" l="1"/>
  <c r="AN18" i="7"/>
  <c r="AN17" i="7"/>
  <c r="AE19" i="11" l="1"/>
  <c r="AE17" i="11"/>
  <c r="AE18" i="11"/>
  <c r="AC17" i="11"/>
  <c r="AC18" i="11"/>
  <c r="AC19" i="11"/>
  <c r="AA17" i="11"/>
  <c r="AA18" i="11"/>
  <c r="AA19" i="11"/>
  <c r="Y17" i="11"/>
  <c r="Y18" i="11"/>
  <c r="Y19" i="11"/>
  <c r="W19" i="11"/>
  <c r="W17" i="11"/>
  <c r="W18" i="11"/>
  <c r="U17" i="11"/>
  <c r="U18" i="11"/>
  <c r="U19" i="11"/>
  <c r="S17" i="11"/>
  <c r="S18" i="11"/>
  <c r="S19" i="11"/>
  <c r="Q17" i="11"/>
  <c r="Q18" i="11"/>
  <c r="Q19" i="11"/>
  <c r="O19" i="11"/>
  <c r="O17" i="11"/>
  <c r="O18" i="11"/>
  <c r="M17" i="11"/>
  <c r="M18" i="11"/>
  <c r="M19" i="11"/>
  <c r="K17" i="11"/>
  <c r="K18" i="11"/>
  <c r="K19" i="11"/>
  <c r="I18" i="11"/>
  <c r="I19" i="11"/>
  <c r="I17" i="11"/>
  <c r="G17" i="11"/>
  <c r="G18" i="11"/>
  <c r="G19" i="11"/>
  <c r="E19" i="11"/>
  <c r="E17" i="11"/>
  <c r="E18" i="11"/>
  <c r="C19" i="11"/>
  <c r="C18" i="11"/>
  <c r="C17" i="11"/>
  <c r="H15" i="11"/>
  <c r="S15" i="11"/>
  <c r="J15" i="11"/>
  <c r="C15" i="11"/>
  <c r="Y15" i="11"/>
  <c r="R15" i="11"/>
  <c r="AE15" i="11"/>
  <c r="F15" i="11"/>
  <c r="M15" i="11"/>
  <c r="D15" i="11"/>
  <c r="I15" i="11"/>
  <c r="W15" i="11"/>
  <c r="AC15" i="11"/>
  <c r="AB15" i="11"/>
  <c r="AD15" i="11"/>
  <c r="T15" i="11"/>
  <c r="P15" i="11"/>
  <c r="O15" i="11"/>
  <c r="Z15" i="11"/>
  <c r="G15" i="11"/>
  <c r="V15" i="11"/>
  <c r="U15" i="11"/>
  <c r="AA15" i="11"/>
  <c r="E15" i="11"/>
  <c r="L15" i="11"/>
  <c r="N15" i="11"/>
  <c r="X15" i="11"/>
  <c r="K15" i="11"/>
  <c r="Q15" i="11"/>
  <c r="T14" i="11"/>
  <c r="I14" i="11"/>
  <c r="Z14" i="11"/>
  <c r="L14" i="11"/>
  <c r="S14" i="11"/>
  <c r="G14" i="11"/>
  <c r="AC14" i="11"/>
  <c r="D14" i="11"/>
  <c r="X14" i="11"/>
  <c r="O14" i="11"/>
  <c r="U14" i="11"/>
  <c r="H14" i="11"/>
  <c r="N14" i="11"/>
  <c r="AD14" i="11"/>
  <c r="M14" i="11"/>
  <c r="J14" i="11"/>
  <c r="AE14" i="11"/>
  <c r="Y14" i="11"/>
  <c r="Q14" i="11"/>
  <c r="AB14" i="11"/>
  <c r="R14" i="11"/>
  <c r="E14" i="11"/>
  <c r="C14" i="11"/>
  <c r="V14" i="11"/>
  <c r="W14" i="11"/>
  <c r="AA14" i="11"/>
  <c r="P14" i="11"/>
  <c r="K14" i="11"/>
  <c r="F14" i="11"/>
  <c r="AD19" i="11"/>
  <c r="AD18" i="11"/>
  <c r="AD17" i="11"/>
  <c r="Z18" i="11"/>
  <c r="Z17" i="11"/>
  <c r="Z19" i="11"/>
  <c r="V17" i="11"/>
  <c r="V18" i="11"/>
  <c r="V19" i="11"/>
  <c r="R17" i="11"/>
  <c r="R19" i="11"/>
  <c r="R18" i="11"/>
  <c r="N19" i="11"/>
  <c r="N18" i="11"/>
  <c r="N17" i="11"/>
  <c r="J18" i="11"/>
  <c r="J17" i="11"/>
  <c r="J19" i="11"/>
  <c r="F17" i="11"/>
  <c r="F18" i="11"/>
  <c r="F19" i="11"/>
  <c r="AB19" i="11"/>
  <c r="AB18" i="11"/>
  <c r="AB17" i="11"/>
  <c r="X18" i="11"/>
  <c r="X19" i="11"/>
  <c r="X17" i="11"/>
  <c r="T17" i="11"/>
  <c r="T19" i="11"/>
  <c r="T18" i="11"/>
  <c r="P17" i="11"/>
  <c r="P19" i="11"/>
  <c r="P18" i="11"/>
  <c r="L19" i="11"/>
  <c r="L18" i="11"/>
  <c r="L17" i="11"/>
  <c r="H18" i="11"/>
  <c r="H19" i="11"/>
  <c r="H17" i="11"/>
  <c r="D18" i="11"/>
  <c r="D17" i="11"/>
  <c r="D19" i="11"/>
  <c r="P13" i="11"/>
  <c r="S13" i="11"/>
  <c r="AC13" i="11"/>
  <c r="T13" i="11"/>
  <c r="I13" i="11"/>
  <c r="J13" i="11"/>
  <c r="O13" i="11"/>
  <c r="M13" i="11"/>
  <c r="X13" i="11"/>
  <c r="V13" i="11"/>
  <c r="Y13" i="11"/>
  <c r="AB13" i="11"/>
  <c r="F13" i="11"/>
  <c r="L13" i="11"/>
  <c r="W13" i="11"/>
  <c r="C13" i="11"/>
  <c r="R13" i="11"/>
  <c r="Q13" i="11"/>
  <c r="U13" i="11"/>
  <c r="E13" i="11"/>
  <c r="G13" i="11"/>
  <c r="D13" i="11"/>
  <c r="AD13" i="11"/>
  <c r="Z13" i="11"/>
  <c r="H13" i="11"/>
  <c r="AE13" i="11"/>
  <c r="AA13" i="11"/>
  <c r="K13" i="11"/>
  <c r="N13" i="11"/>
  <c r="I12" i="11"/>
  <c r="R12" i="11"/>
  <c r="O12" i="11"/>
  <c r="W12" i="11"/>
  <c r="H12" i="11"/>
  <c r="J12" i="11"/>
  <c r="C12" i="11"/>
  <c r="L12" i="11"/>
  <c r="AE12" i="11"/>
  <c r="P12" i="11"/>
  <c r="Z12" i="11"/>
  <c r="Q12" i="11"/>
  <c r="S12" i="11"/>
  <c r="M12" i="11"/>
  <c r="G12" i="11"/>
  <c r="AC12" i="11"/>
  <c r="X12" i="11"/>
  <c r="T12" i="11"/>
  <c r="E12" i="11"/>
  <c r="AD12" i="11"/>
  <c r="U12" i="11"/>
  <c r="AB12" i="11"/>
  <c r="F12" i="11"/>
  <c r="AA12" i="11"/>
  <c r="N12" i="11"/>
  <c r="Y12" i="11"/>
  <c r="V12" i="11"/>
  <c r="K12" i="11"/>
  <c r="D12" i="11"/>
  <c r="L11" i="11"/>
  <c r="AB11" i="11"/>
  <c r="AC11" i="11"/>
  <c r="C11" i="11"/>
  <c r="P11" i="11"/>
  <c r="T11" i="11"/>
  <c r="AD11" i="11"/>
  <c r="X11" i="11"/>
  <c r="D11" i="11"/>
  <c r="F11" i="11"/>
  <c r="W11" i="11"/>
  <c r="V11" i="11"/>
  <c r="Z11" i="11"/>
  <c r="G11" i="11"/>
  <c r="E11" i="11"/>
  <c r="H11" i="11"/>
  <c r="AA11" i="11"/>
  <c r="U11" i="11"/>
  <c r="J11" i="11"/>
  <c r="O11" i="11"/>
  <c r="Q11" i="11"/>
  <c r="AE11" i="11"/>
  <c r="S11" i="11"/>
  <c r="R11" i="11"/>
  <c r="I11" i="11"/>
  <c r="Y11" i="11"/>
  <c r="M11" i="11"/>
  <c r="K11" i="11"/>
  <c r="N11" i="11"/>
  <c r="M10" i="11"/>
  <c r="O10" i="11"/>
  <c r="Q10" i="11"/>
  <c r="AE10" i="11"/>
  <c r="C10" i="11"/>
  <c r="L10" i="11"/>
  <c r="S10" i="11"/>
  <c r="D10" i="11"/>
  <c r="V10" i="11"/>
  <c r="AD10" i="11"/>
  <c r="AA10" i="11"/>
  <c r="Y10" i="11"/>
  <c r="T10" i="11"/>
  <c r="R10" i="11"/>
  <c r="I10" i="11"/>
  <c r="F10" i="11"/>
  <c r="P10" i="11"/>
  <c r="G10" i="11"/>
  <c r="N10" i="11"/>
  <c r="W10" i="11"/>
  <c r="J10" i="11"/>
  <c r="U10" i="11"/>
  <c r="E10" i="11"/>
  <c r="X10" i="11"/>
  <c r="AC10" i="11"/>
  <c r="AB10" i="11"/>
  <c r="H10" i="11"/>
  <c r="K10" i="11"/>
  <c r="Z10" i="11"/>
  <c r="D9" i="11"/>
  <c r="T9" i="11"/>
  <c r="AC9" i="11"/>
  <c r="M9" i="11"/>
  <c r="Q9" i="11"/>
  <c r="E9" i="11"/>
  <c r="AD9" i="11"/>
  <c r="P9" i="11"/>
  <c r="W9" i="11"/>
  <c r="N9" i="11"/>
  <c r="O9" i="11"/>
  <c r="J9" i="11"/>
  <c r="S9" i="11"/>
  <c r="F9" i="11"/>
  <c r="H9" i="11"/>
  <c r="AA9" i="11"/>
  <c r="C9" i="11"/>
  <c r="Y9" i="11"/>
  <c r="R9" i="11"/>
  <c r="AB9" i="11"/>
  <c r="X9" i="11"/>
  <c r="V9" i="11"/>
  <c r="Z9" i="11"/>
  <c r="G9" i="11"/>
  <c r="U9" i="11"/>
  <c r="AE9" i="11"/>
  <c r="L9" i="11"/>
  <c r="I9" i="11"/>
  <c r="K9" i="11"/>
  <c r="X8" i="11"/>
  <c r="U8" i="11"/>
  <c r="R8" i="11"/>
  <c r="L8" i="11"/>
  <c r="J8" i="11"/>
  <c r="D8" i="11"/>
  <c r="E8" i="11"/>
  <c r="AD8" i="11"/>
  <c r="AE8" i="11"/>
  <c r="S8" i="11"/>
  <c r="P8" i="11"/>
  <c r="AB8" i="11"/>
  <c r="Y8" i="11"/>
  <c r="G8" i="11"/>
  <c r="AC8" i="11"/>
  <c r="T8" i="11"/>
  <c r="M8" i="11"/>
  <c r="Z8" i="11"/>
  <c r="F8" i="11"/>
  <c r="N8" i="11"/>
  <c r="C8" i="11"/>
  <c r="Q8" i="11"/>
  <c r="I8" i="11"/>
  <c r="O8" i="11"/>
  <c r="H8" i="11"/>
  <c r="V8" i="11"/>
  <c r="W8" i="11"/>
  <c r="K8" i="11"/>
  <c r="AA8" i="11"/>
  <c r="F7" i="11"/>
  <c r="C7" i="11"/>
  <c r="V7" i="11"/>
  <c r="G7" i="11"/>
  <c r="AC7" i="11"/>
  <c r="P7" i="11"/>
  <c r="AA7" i="11"/>
  <c r="Z7" i="11"/>
  <c r="I7" i="11"/>
  <c r="AD7" i="11"/>
  <c r="N7" i="11"/>
  <c r="E7" i="11"/>
  <c r="L7" i="11"/>
  <c r="M7" i="11"/>
  <c r="H7" i="11"/>
  <c r="R7" i="11"/>
  <c r="AB7" i="11"/>
  <c r="U7" i="11"/>
  <c r="X7" i="11"/>
  <c r="S7" i="11"/>
  <c r="Y7" i="11"/>
  <c r="J7" i="11"/>
  <c r="O7" i="11"/>
  <c r="T7" i="11"/>
  <c r="W7" i="11"/>
  <c r="AE7" i="11"/>
  <c r="Q7" i="11"/>
  <c r="K7" i="11"/>
  <c r="D7" i="11"/>
  <c r="R6" i="11"/>
  <c r="AD6" i="11"/>
  <c r="V6" i="11"/>
  <c r="E6" i="11"/>
  <c r="Y6" i="11"/>
  <c r="P6" i="11"/>
  <c r="M6" i="11"/>
  <c r="L6" i="11"/>
  <c r="AB6" i="11"/>
  <c r="T6" i="11"/>
  <c r="J6" i="11"/>
  <c r="O6" i="11"/>
  <c r="Q6" i="11"/>
  <c r="G6" i="11"/>
  <c r="S6" i="11"/>
  <c r="U6" i="11"/>
  <c r="X6" i="11"/>
  <c r="Z6" i="11"/>
  <c r="AC6" i="11"/>
  <c r="F6" i="11"/>
  <c r="AA6" i="11"/>
  <c r="H6" i="11"/>
  <c r="N6" i="11"/>
  <c r="AE6" i="11"/>
  <c r="C6" i="11"/>
  <c r="D6" i="11"/>
  <c r="W6" i="11"/>
  <c r="K6" i="11"/>
  <c r="I6" i="11"/>
  <c r="I5" i="11"/>
  <c r="M5" i="11"/>
  <c r="D5" i="11"/>
  <c r="J5" i="11"/>
  <c r="AA5" i="11"/>
  <c r="S5" i="11"/>
  <c r="L5" i="11"/>
  <c r="AB5" i="11"/>
  <c r="AE5" i="11"/>
  <c r="O5" i="11"/>
  <c r="AC5" i="11"/>
  <c r="F5" i="11"/>
  <c r="R5" i="11"/>
  <c r="G5" i="11"/>
  <c r="Z5" i="11"/>
  <c r="W5" i="11"/>
  <c r="V5" i="11"/>
  <c r="P5" i="11"/>
  <c r="Q5" i="11"/>
  <c r="C5" i="11"/>
  <c r="Y5" i="11"/>
  <c r="T5" i="11"/>
  <c r="N5" i="11"/>
  <c r="AD5" i="11"/>
  <c r="U5" i="11"/>
  <c r="X5" i="11"/>
  <c r="E5" i="11"/>
  <c r="D16" i="11"/>
  <c r="Y16" i="11"/>
  <c r="G16" i="11"/>
  <c r="AD16" i="11"/>
  <c r="R16" i="11"/>
  <c r="P16" i="11"/>
  <c r="AB16" i="11"/>
  <c r="Z16" i="11"/>
  <c r="V16" i="11"/>
  <c r="H16" i="11"/>
  <c r="Y4" i="11"/>
  <c r="AD4" i="11"/>
  <c r="P4" i="11"/>
  <c r="Z4" i="11"/>
  <c r="H4" i="11"/>
  <c r="K16" i="11"/>
  <c r="G4" i="11"/>
  <c r="R4" i="11"/>
  <c r="AB4" i="11"/>
  <c r="V4" i="11"/>
  <c r="T4" i="11"/>
  <c r="T16" i="11"/>
  <c r="M4" i="11"/>
  <c r="M16" i="11"/>
  <c r="E4" i="11"/>
  <c r="E16" i="11"/>
  <c r="I4" i="11"/>
  <c r="I16" i="11"/>
  <c r="Q4" i="11"/>
  <c r="Q16" i="11"/>
  <c r="L4" i="11"/>
  <c r="L16" i="11"/>
  <c r="U4" i="11"/>
  <c r="U16" i="11"/>
  <c r="W4" i="11"/>
  <c r="W16" i="11"/>
  <c r="AA4" i="11"/>
  <c r="AA16" i="11"/>
  <c r="AE4" i="11"/>
  <c r="AE16" i="11"/>
  <c r="O4" i="11"/>
  <c r="O16" i="11"/>
  <c r="AC4" i="11"/>
  <c r="AC16" i="11"/>
  <c r="AE1" i="11"/>
  <c r="N4" i="11"/>
  <c r="N16" i="11"/>
  <c r="C16" i="11"/>
  <c r="F4" i="11"/>
  <c r="F16" i="11"/>
  <c r="S4" i="11"/>
  <c r="S16" i="11"/>
  <c r="D4" i="11"/>
  <c r="J4" i="11"/>
  <c r="J16" i="11"/>
  <c r="AA1" i="11"/>
  <c r="AB1" i="11"/>
  <c r="AC1" i="11"/>
  <c r="AD1" i="11"/>
  <c r="C4" i="11"/>
  <c r="K4" i="11"/>
  <c r="X4" i="11"/>
  <c r="X16" i="11"/>
  <c r="Y1" i="11"/>
  <c r="Z1" i="11"/>
  <c r="V1" i="11"/>
  <c r="W1" i="11"/>
  <c r="X1" i="11"/>
  <c r="L1" i="11"/>
  <c r="M1" i="11"/>
  <c r="N1" i="11"/>
  <c r="O1" i="11"/>
  <c r="P1" i="11"/>
  <c r="Q1" i="11"/>
  <c r="R1" i="11"/>
  <c r="S1" i="11"/>
  <c r="T1" i="11"/>
  <c r="U1" i="11"/>
  <c r="I1" i="11"/>
  <c r="J1" i="11"/>
  <c r="K1" i="11"/>
  <c r="K5" i="11"/>
  <c r="H5" i="11"/>
  <c r="D1" i="11"/>
  <c r="E1" i="11"/>
  <c r="F1" i="11"/>
  <c r="G1" i="11"/>
  <c r="H1" i="11"/>
</calcChain>
</file>

<file path=xl/sharedStrings.xml><?xml version="1.0" encoding="utf-8"?>
<sst xmlns="http://schemas.openxmlformats.org/spreadsheetml/2006/main" count="319" uniqueCount="196">
  <si>
    <t xml:space="preserve"> </t>
  </si>
  <si>
    <t>Cliente:</t>
  </si>
  <si>
    <t>Tarifa:</t>
  </si>
  <si>
    <t>Dirección:</t>
  </si>
  <si>
    <t>Nº de Servicio CFE:</t>
  </si>
  <si>
    <t xml:space="preserve">Especificaciones </t>
  </si>
  <si>
    <t xml:space="preserve">Modelo </t>
  </si>
  <si>
    <t xml:space="preserve">Marca </t>
  </si>
  <si>
    <t xml:space="preserve">Inversores </t>
  </si>
  <si>
    <t xml:space="preserve">Sin Paneles </t>
  </si>
  <si>
    <t xml:space="preserve">Actualmente pagas </t>
  </si>
  <si>
    <t xml:space="preserve">Con Paneles </t>
  </si>
  <si>
    <t>Ahorro</t>
  </si>
  <si>
    <t>Dejarás de pagar</t>
  </si>
  <si>
    <t>* Pagos por periodo promedio</t>
  </si>
  <si>
    <t xml:space="preserve">Tasa interna de retorno </t>
  </si>
  <si>
    <t>SEMBRADO DEL SISTEMA FOTOVOLTAICO PARA GENERACIÓN DE ENERGÍA</t>
  </si>
  <si>
    <t>COTIZACIÓN</t>
  </si>
  <si>
    <t>ITEM</t>
  </si>
  <si>
    <t>DESCRIPCIÓN</t>
  </si>
  <si>
    <t>CANTIDAD</t>
  </si>
  <si>
    <t>PRECIO UNITARIO</t>
  </si>
  <si>
    <t>TOTAL</t>
  </si>
  <si>
    <t>SUB-TOTAL</t>
  </si>
  <si>
    <t>IVA</t>
  </si>
  <si>
    <t>IMPORTE TOTAL</t>
  </si>
  <si>
    <t>Consumo vs  Producción Sistema Solar</t>
  </si>
  <si>
    <t>Capacidad de sistema</t>
  </si>
  <si>
    <t>WP</t>
  </si>
  <si>
    <t>TC</t>
  </si>
  <si>
    <t>usd/WP</t>
  </si>
  <si>
    <t>Degú</t>
  </si>
  <si>
    <t>INPC</t>
  </si>
  <si>
    <t>Tarifa KW</t>
  </si>
  <si>
    <t>MXP</t>
  </si>
  <si>
    <t>Tarifa KW + incremento (INPC)</t>
  </si>
  <si>
    <t>Valor de la energía</t>
  </si>
  <si>
    <t># Cels</t>
  </si>
  <si>
    <t>#</t>
  </si>
  <si>
    <t>Valor del CEL</t>
  </si>
  <si>
    <t>Ingresos por CELs</t>
  </si>
  <si>
    <t>Ingresos</t>
  </si>
  <si>
    <t>Inversion</t>
  </si>
  <si>
    <t>O&amp;M (Empresa de O&amp;M)</t>
  </si>
  <si>
    <t>USD</t>
  </si>
  <si>
    <t>% de la inversión</t>
  </si>
  <si>
    <t>CAPEX</t>
  </si>
  <si>
    <t>EBITDA</t>
  </si>
  <si>
    <t>TIR</t>
  </si>
  <si>
    <t>cash flor</t>
  </si>
  <si>
    <t>acumulado</t>
  </si>
  <si>
    <t>Aplicación de Beneficio FISCAL</t>
  </si>
  <si>
    <t>RECUPERADO</t>
  </si>
  <si>
    <t xml:space="preserve">LEY ISR </t>
  </si>
  <si>
    <t>Cash Flor</t>
  </si>
  <si>
    <t>acumulado + ISR</t>
  </si>
  <si>
    <t>A ñ o</t>
  </si>
  <si>
    <t>Mes</t>
  </si>
  <si>
    <t>Consumo kWh</t>
  </si>
  <si>
    <t>Costo medio (MXN)</t>
  </si>
  <si>
    <t>PPA  Sisolar</t>
  </si>
  <si>
    <t>COSTO               CFE</t>
  </si>
  <si>
    <t>Costo fijo</t>
  </si>
  <si>
    <t>baja tension 2%</t>
  </si>
  <si>
    <t>SUBTOTAL</t>
  </si>
  <si>
    <t>SUBTAL + IVA</t>
  </si>
  <si>
    <t xml:space="preserve">DAP </t>
  </si>
  <si>
    <t>COSTO CFE</t>
  </si>
  <si>
    <t>i</t>
  </si>
  <si>
    <t>min</t>
  </si>
  <si>
    <t>ƐPi</t>
  </si>
  <si>
    <t>MAX</t>
  </si>
  <si>
    <t>ƐQi</t>
  </si>
  <si>
    <t>Promedio</t>
  </si>
  <si>
    <t>PMP</t>
  </si>
  <si>
    <t>Ponderado</t>
  </si>
  <si>
    <t>r</t>
  </si>
  <si>
    <t>Descuento</t>
  </si>
  <si>
    <t>Solar</t>
  </si>
  <si>
    <t>Consumo</t>
  </si>
  <si>
    <t>mes</t>
  </si>
  <si>
    <t>Tarifa</t>
  </si>
  <si>
    <t>Month</t>
  </si>
  <si>
    <t>GHI (kWh/m2)</t>
  </si>
  <si>
    <t>POA (kWh/m2)</t>
  </si>
  <si>
    <t>Shaded (kWh/m2)</t>
  </si>
  <si>
    <t>Nameplate (kWh)</t>
  </si>
  <si>
    <t>Grid (kWh)</t>
  </si>
  <si>
    <t>kWh</t>
  </si>
  <si>
    <t>January</t>
  </si>
  <si>
    <t>February</t>
  </si>
  <si>
    <t>March</t>
  </si>
  <si>
    <t>April</t>
  </si>
  <si>
    <t>May</t>
  </si>
  <si>
    <t>June</t>
  </si>
  <si>
    <t>July</t>
  </si>
  <si>
    <t>August</t>
  </si>
  <si>
    <t>September</t>
  </si>
  <si>
    <t>October</t>
  </si>
  <si>
    <t>December</t>
  </si>
  <si>
    <t>Diferencial</t>
  </si>
  <si>
    <t>.</t>
  </si>
  <si>
    <t>abril</t>
  </si>
  <si>
    <t>mayo</t>
  </si>
  <si>
    <t>junio</t>
  </si>
  <si>
    <t>julio</t>
  </si>
  <si>
    <t>agosto</t>
  </si>
  <si>
    <t>septiembre</t>
  </si>
  <si>
    <t>octubre</t>
  </si>
  <si>
    <t>noviembre</t>
  </si>
  <si>
    <t>diciembre</t>
  </si>
  <si>
    <t>INPC= 6%</t>
  </si>
  <si>
    <t>actual</t>
  </si>
  <si>
    <t>TOTALES</t>
  </si>
  <si>
    <t>Pago Anual</t>
  </si>
  <si>
    <t>Finan</t>
  </si>
  <si>
    <t>Capacidad del Panel</t>
  </si>
  <si>
    <t>numero de paneles</t>
  </si>
  <si>
    <t>capacidad total a instalar</t>
  </si>
  <si>
    <t>Panel</t>
  </si>
  <si>
    <t>Marca</t>
  </si>
  <si>
    <t>Capacidad (wp)</t>
  </si>
  <si>
    <t>cantidad</t>
  </si>
  <si>
    <t>Cap total sistema</t>
  </si>
  <si>
    <t>Estructura</t>
  </si>
  <si>
    <t xml:space="preserve">Tension </t>
  </si>
  <si>
    <t>480 V /13.2 KV</t>
  </si>
  <si>
    <t>año 1</t>
  </si>
  <si>
    <t>año 2</t>
  </si>
  <si>
    <t>red (kWh)</t>
  </si>
  <si>
    <t>año 25</t>
  </si>
  <si>
    <t>total degradacion</t>
  </si>
  <si>
    <t>enero</t>
  </si>
  <si>
    <t>factor degradacion anual</t>
  </si>
  <si>
    <t>febrero</t>
  </si>
  <si>
    <t>marzo</t>
  </si>
  <si>
    <t>Anual</t>
  </si>
  <si>
    <t>CONSUMO ANUAL kWh</t>
  </si>
  <si>
    <t>PRECIO MEDIO MENSUAL kWh</t>
  </si>
  <si>
    <t>EPC</t>
  </si>
  <si>
    <t>Modelo</t>
  </si>
  <si>
    <t>Inversor</t>
  </si>
  <si>
    <t>Cliente</t>
  </si>
  <si>
    <t>No. Servicio</t>
  </si>
  <si>
    <t>PAGO PROMEDIO MENSUAL</t>
  </si>
  <si>
    <t xml:space="preserve">Ahora pagarás </t>
  </si>
  <si>
    <t>Autoconsumo</t>
  </si>
  <si>
    <t>CONSUMO A CFE</t>
  </si>
  <si>
    <t>PAGO FINANCIAMIENTO FONDOS GUANAJUATO</t>
  </si>
  <si>
    <t>Ahora Pagarás</t>
  </si>
  <si>
    <t>PAGO A FONDOS GUANAJUATO</t>
  </si>
  <si>
    <t>AUTOCONSUMO CON PANELES</t>
  </si>
  <si>
    <t>Pago de Financiamiento y CFE</t>
  </si>
  <si>
    <t>PAGO MENSUAL</t>
  </si>
  <si>
    <t>AÑOS</t>
  </si>
  <si>
    <t>Mes Actual</t>
  </si>
  <si>
    <t>1° año</t>
  </si>
  <si>
    <t>2° año</t>
  </si>
  <si>
    <t>3° año</t>
  </si>
  <si>
    <t>4° año</t>
  </si>
  <si>
    <t>5° año</t>
  </si>
  <si>
    <t>6° año</t>
  </si>
  <si>
    <t>7° año</t>
  </si>
  <si>
    <t>TSM-DEG21C.20 650</t>
  </si>
  <si>
    <t>Año 1</t>
  </si>
  <si>
    <t>Año 2</t>
  </si>
  <si>
    <t>Año 3</t>
  </si>
  <si>
    <t>Año 4</t>
  </si>
  <si>
    <t>Año 5</t>
  </si>
  <si>
    <t>Año 6</t>
  </si>
  <si>
    <t>Año 7</t>
  </si>
  <si>
    <t xml:space="preserve">Comparación de pagos a CFE </t>
  </si>
  <si>
    <t xml:space="preserve">Si aun no te convences, espera a que veas esto. </t>
  </si>
  <si>
    <t xml:space="preserve">Tu inversión </t>
  </si>
  <si>
    <t>En poco tiempo veras recuperada tu inversión</t>
  </si>
  <si>
    <t>Recuperación de inversión en:</t>
  </si>
  <si>
    <t xml:space="preserve">Páneles solares </t>
  </si>
  <si>
    <t>Año</t>
  </si>
  <si>
    <t>Trina Solar</t>
  </si>
  <si>
    <t>Proviedncia Farms -Fortune Growers</t>
  </si>
  <si>
    <t>GDMTH</t>
  </si>
  <si>
    <t>Dolores Hidalgo, Guanajuato</t>
  </si>
  <si>
    <t>Lamina engargolada</t>
  </si>
  <si>
    <t>November</t>
  </si>
  <si>
    <t>HUAWEI</t>
  </si>
  <si>
    <t>PANEL SOLAR 710 Wp (W) MONOPERC DE ALTA EFICIENCIA</t>
  </si>
  <si>
    <t>•	  SUMINISTRO E INSTALACIÓN DE PANELES SOLARES MONOCRISTALINO DE 710 Wp (W) MONOPERC DE ALTA EFICIENCIA.
•  	INCLUYE DUCTOS, CONEXIONES, TORNILLERIA, TIERRAS, PROTECCIÓN CC, CENTRAL DE TRANSFORMACIÓN DE VOLTAJE, EXTENSIÓN DE SOPORTE PARA PANEL SOLAR, CAJA DE CONEXIONES COMBINADAS CON PROTECCIONES, MANO DE OBRA, INSTALACIÓN Y PUESTA EN OPERACIÓN, APROBACIÓN DE PROYECTO ANTE CFE (INCLUYE GESTIÓN DE INTERCONEXIÓN CON CFE).
•  	INCLUYE UVIE Y UI PARA CUMPLIMIENTO DE NOM-001-SEDE SEGURIDAD ELECTRICA EN INSTALACIONES.</t>
  </si>
  <si>
    <t>Código del Proyecto: HM-A0067</t>
  </si>
  <si>
    <t>SUN2000-330KTL</t>
  </si>
  <si>
    <t>HERMEX S de RL de CV</t>
  </si>
  <si>
    <t>Escobedo Nuevo Leon.</t>
  </si>
  <si>
    <t>2025 &amp; 2024</t>
  </si>
  <si>
    <t>P90</t>
  </si>
  <si>
    <t>P80</t>
  </si>
  <si>
    <t>P70</t>
  </si>
  <si>
    <t>degradación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</si>
</sst>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23">
    <numFmt numFmtId="5" formatCode="&quot;$&quot;#,##0;\-&quot;$&quot;#,##0"/>
    <numFmt numFmtId="6" formatCode="&quot;$&quot;#,##0;[Red]\-&quot;$&quot;#,##0"/>
    <numFmt numFmtId="7" formatCode="&quot;$&quot;#,##0.00;\-&quot;$&quot;#,##0.00"/>
    <numFmt numFmtId="8" formatCode="&quot;$&quot;#,##0.00;[Red]\-&quot;$&quot;#,##0.00"/>
    <numFmt numFmtId="44" formatCode="_-&quot;$&quot;* #,##0.00_-;\-&quot;$&quot;* #,##0.00_-;_-&quot;$&quot;* &quot;-&quot;??_-;_-@_-"/>
    <numFmt numFmtId="43" formatCode="_-* #,##0.00_-;\-* #,##0.00_-;_-* &quot;-&quot;??_-;_-@_-"/>
    <numFmt numFmtId="164" formatCode="#,##0;[Red]#,##0"/>
    <numFmt numFmtId="165" formatCode="_-[$$-80A]* #,##0.00_-;\-[$$-80A]* #,##0.00_-;_-[$$-80A]* &quot;-&quot;??_-;_-@_-"/>
    <numFmt numFmtId="166" formatCode="0.0000"/>
    <numFmt numFmtId="167" formatCode="0.0%"/>
    <numFmt numFmtId="168" formatCode="_-[$$-80A]* #,##0.0000_-;\-[$$-80A]* #,##0.0000_-;_-[$$-80A]* &quot;-&quot;??_-;_-@_-"/>
    <numFmt numFmtId="169" formatCode="_-[$$-409]* #,##0.00_ ;_-[$$-409]* \-#,##0.00\ ;_-[$$-409]* &quot;-&quot;??_ ;_-@_ "/>
    <numFmt numFmtId="170" formatCode="_-* #,##0_-;\-* #,##0_-;_-* &quot;-&quot;??_-;_-@_-"/>
    <numFmt numFmtId="171" formatCode="_-[$$-80A]* #,##0_-;\-[$$-80A]* #,##0_-;_-[$$-80A]* &quot;-&quot;??_-;_-@_-"/>
    <numFmt numFmtId="172" formatCode="[$$-409]#,##0.00_ ;[Red]\-[$$-409]#,##0.00\ "/>
    <numFmt numFmtId="173" formatCode="#,##0_ ;\-#,##0\ "/>
    <numFmt numFmtId="174" formatCode="_-&quot;$&quot;* #,##0.0000_-;\-&quot;$&quot;* #,##0.0000_-;_-&quot;$&quot;* &quot;-&quot;??_-;_-@_-"/>
    <numFmt numFmtId="175" formatCode="_-&quot;$&quot;* #,##0_-;\-&quot;$&quot;* #,##0_-;_-&quot;$&quot;* &quot;-&quot;??_-;_-@_-"/>
    <numFmt numFmtId="176" formatCode="_-* #,##0.000_-;\-* #,##0.000_-;_-* &quot;-&quot;??_-;_-@_-"/>
    <numFmt numFmtId="177" formatCode="_-* #,##0.0_-;\-* #,##0.0_-;_-* &quot;-&quot;?_-;_-@_-"/>
    <numFmt numFmtId="178" formatCode="_-* #,##0.00000_-;\-* #,##0.00000_-;_-* &quot;-&quot;??_-;_-@_-"/>
    <numFmt numFmtId="179" formatCode="_-* #,##0.0000_-;\-* #,##0.0000_-;_-* &quot;-&quot;??_-;_-@_-"/>
    <numFmt numFmtId="180" formatCode="#,##0\ &quot;MESES&quot;"/>
  </numFmts>
  <fonts count="74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0"/>
      <color rgb="FFF2AD00"/>
      <name val="Roboto"/>
    </font>
    <font>
      <b/>
      <sz val="11"/>
      <color rgb="FFF2AD00"/>
      <name val="Calibri"/>
      <family val="2"/>
      <scheme val="minor"/>
    </font>
    <font>
      <sz val="11"/>
      <color rgb="FF23304C"/>
      <name val="Calibri"/>
      <family val="2"/>
      <scheme val="minor"/>
    </font>
    <font>
      <b/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b/>
      <sz val="14"/>
      <color theme="0"/>
      <name val="Calibri"/>
      <family val="2"/>
      <scheme val="minor"/>
    </font>
    <font>
      <b/>
      <sz val="22"/>
      <color theme="1"/>
      <name val="Calibri"/>
      <family val="2"/>
      <scheme val="minor"/>
    </font>
    <font>
      <b/>
      <sz val="16"/>
      <color theme="0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12"/>
      <color rgb="FFF2AD00"/>
      <name val="Roboto"/>
    </font>
    <font>
      <b/>
      <sz val="14"/>
      <color rgb="FFF2AD00"/>
      <name val="Roboto"/>
    </font>
    <font>
      <b/>
      <sz val="18"/>
      <color rgb="FFF2AD00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9"/>
      <color rgb="FF23304C"/>
      <name val="Roboto"/>
    </font>
    <font>
      <b/>
      <sz val="9"/>
      <color theme="1"/>
      <name val="Roboto"/>
    </font>
    <font>
      <sz val="9"/>
      <color theme="1"/>
      <name val="Roboto"/>
    </font>
    <font>
      <b/>
      <sz val="10"/>
      <color theme="1"/>
      <name val="Calibri"/>
      <family val="2"/>
      <scheme val="minor"/>
    </font>
    <font>
      <b/>
      <sz val="10"/>
      <color theme="1"/>
      <name val="Arial"/>
      <family val="2"/>
    </font>
    <font>
      <sz val="9"/>
      <color theme="1"/>
      <name val="Arial"/>
      <family val="2"/>
    </font>
    <font>
      <sz val="10"/>
      <color theme="1"/>
      <name val="Arial"/>
      <family val="2"/>
    </font>
    <font>
      <sz val="6"/>
      <color theme="1"/>
      <name val="Arial"/>
      <family val="2"/>
    </font>
    <font>
      <sz val="7"/>
      <color theme="1"/>
      <name val="Arial"/>
      <family val="2"/>
    </font>
    <font>
      <b/>
      <sz val="9"/>
      <color theme="1"/>
      <name val="Arial"/>
      <family val="2"/>
    </font>
    <font>
      <b/>
      <sz val="11"/>
      <color theme="3"/>
      <name val="Calibri"/>
      <family val="2"/>
      <scheme val="minor"/>
    </font>
    <font>
      <sz val="11"/>
      <color rgb="FF006100"/>
      <name val="Calibri"/>
      <family val="2"/>
      <scheme val="minor"/>
    </font>
    <font>
      <sz val="11"/>
      <color rgb="FF3F3F76"/>
      <name val="Calibri"/>
      <family val="2"/>
      <scheme val="minor"/>
    </font>
    <font>
      <b/>
      <sz val="11"/>
      <color rgb="FF3F3F3F"/>
      <name val="Calibri"/>
      <family val="2"/>
      <scheme val="minor"/>
    </font>
    <font>
      <b/>
      <sz val="11"/>
      <color rgb="FFFA7D00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9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9"/>
      <color theme="0"/>
      <name val="Calibri"/>
      <family val="2"/>
      <scheme val="minor"/>
    </font>
    <font>
      <b/>
      <sz val="9"/>
      <color rgb="FFFA7D00"/>
      <name val="Calibri"/>
      <family val="2"/>
      <scheme val="minor"/>
    </font>
    <font>
      <b/>
      <sz val="9"/>
      <color theme="0" tint="-4.9989318521683403E-2"/>
      <name val="Calibri"/>
      <family val="2"/>
      <scheme val="minor"/>
    </font>
    <font>
      <sz val="9"/>
      <color rgb="FF3F3F76"/>
      <name val="Calibri"/>
      <family val="2"/>
      <scheme val="minor"/>
    </font>
    <font>
      <b/>
      <sz val="9"/>
      <color theme="3"/>
      <name val="Calibri"/>
      <family val="2"/>
      <scheme val="minor"/>
    </font>
    <font>
      <b/>
      <sz val="9"/>
      <color rgb="FF3F3F76"/>
      <name val="Calibri"/>
      <family val="2"/>
      <scheme val="minor"/>
    </font>
    <font>
      <sz val="9"/>
      <color rgb="FF006100"/>
      <name val="Calibri"/>
      <family val="2"/>
      <scheme val="minor"/>
    </font>
    <font>
      <sz val="10"/>
      <name val="Calibri"/>
      <family val="2"/>
      <scheme val="minor"/>
    </font>
    <font>
      <sz val="11"/>
      <name val="Calibri"/>
      <family val="2"/>
      <scheme val="minor"/>
    </font>
    <font>
      <b/>
      <sz val="9"/>
      <color rgb="FF006100"/>
      <name val="Calibri"/>
      <family val="2"/>
      <scheme val="minor"/>
    </font>
    <font>
      <b/>
      <sz val="9"/>
      <color theme="3" tint="-0.249977111117893"/>
      <name val="Calibri"/>
      <family val="2"/>
      <scheme val="minor"/>
    </font>
    <font>
      <b/>
      <sz val="9"/>
      <color rgb="FFFF0000"/>
      <name val="Calibri"/>
      <family val="2"/>
      <scheme val="minor"/>
    </font>
    <font>
      <sz val="11"/>
      <color theme="4" tint="-0.249977111117893"/>
      <name val="Calibri"/>
      <family val="2"/>
      <scheme val="minor"/>
    </font>
    <font>
      <sz val="10"/>
      <color rgb="FF3F3F76"/>
      <name val="Calibri"/>
      <family val="2"/>
      <scheme val="minor"/>
    </font>
    <font>
      <b/>
      <sz val="10"/>
      <color theme="4" tint="-0.249977111117893"/>
      <name val="Calibri"/>
      <family val="2"/>
      <scheme val="minor"/>
    </font>
    <font>
      <sz val="22"/>
      <color theme="1"/>
      <name val="Calibri"/>
      <family val="2"/>
      <scheme val="minor"/>
    </font>
    <font>
      <b/>
      <sz val="11"/>
      <color rgb="FF3F3F76"/>
      <name val="Calibri"/>
      <family val="2"/>
      <scheme val="minor"/>
    </font>
    <font>
      <b/>
      <sz val="10"/>
      <color theme="3"/>
      <name val="Calibri"/>
      <family val="2"/>
      <scheme val="minor"/>
    </font>
    <font>
      <b/>
      <sz val="11"/>
      <color theme="4" tint="-0.499984740745262"/>
      <name val="Calibri"/>
      <family val="2"/>
      <scheme val="minor"/>
    </font>
    <font>
      <sz val="11"/>
      <color theme="5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1"/>
      <name val="Calibri"/>
      <family val="2"/>
      <scheme val="minor"/>
    </font>
    <font>
      <b/>
      <sz val="9"/>
      <color theme="0"/>
      <name val="Calibri"/>
      <family val="2"/>
      <scheme val="minor"/>
    </font>
    <font>
      <b/>
      <sz val="8"/>
      <color theme="0"/>
      <name val="Calibri"/>
      <family val="2"/>
      <scheme val="minor"/>
    </font>
    <font>
      <b/>
      <sz val="8"/>
      <color theme="1"/>
      <name val="Calibri"/>
      <family val="2"/>
      <scheme val="minor"/>
    </font>
    <font>
      <b/>
      <sz val="7"/>
      <color theme="1"/>
      <name val="Calibri"/>
      <family val="2"/>
      <scheme val="minor"/>
    </font>
    <font>
      <b/>
      <sz val="9"/>
      <name val="Calibri"/>
      <family val="2"/>
      <scheme val="minor"/>
    </font>
    <font>
      <sz val="8"/>
      <name val="Calibri"/>
      <family val="2"/>
      <scheme val="minor"/>
    </font>
    <font>
      <b/>
      <sz val="10"/>
      <color theme="0"/>
      <name val="Calibri"/>
      <family val="2"/>
      <scheme val="minor"/>
    </font>
    <font>
      <sz val="8"/>
      <color rgb="FF333333"/>
      <name val="Open Sans"/>
      <family val="2"/>
    </font>
    <font>
      <b/>
      <sz val="12"/>
      <color theme="3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0"/>
      <color rgb="FF3F3F3F"/>
      <name val="Calibri"/>
      <family val="2"/>
      <scheme val="minor"/>
    </font>
    <font>
      <sz val="12"/>
      <name val="Calibri"/>
      <family val="2"/>
      <scheme val="minor"/>
    </font>
    <font>
      <b/>
      <sz val="14"/>
      <color theme="3"/>
      <name val="Calibri"/>
      <family val="2"/>
      <scheme val="minor"/>
    </font>
  </fonts>
  <fills count="30">
    <fill>
      <patternFill patternType="none"/>
    </fill>
    <fill>
      <patternFill patternType="gray125"/>
    </fill>
    <fill>
      <patternFill patternType="solid">
        <fgColor theme="2"/>
        <bgColor indexed="64"/>
      </patternFill>
    </fill>
    <fill>
      <patternFill patternType="solid">
        <fgColor theme="1" tint="0.499984740745262"/>
        <bgColor indexed="64"/>
      </patternFill>
    </fill>
    <fill>
      <patternFill patternType="solid">
        <fgColor rgb="FFC6EFCE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8"/>
      </patternFill>
    </fill>
    <fill>
      <patternFill patternType="solid">
        <fgColor theme="9" tint="0.39997558519241921"/>
        <bgColor indexed="65"/>
      </patternFill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7999816888943144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2AD00"/>
        <bgColor indexed="64"/>
      </patternFill>
    </fill>
    <fill>
      <patternFill patternType="solid">
        <fgColor theme="8" tint="0.79998168889431442"/>
        <bgColor indexed="64"/>
      </patternFill>
    </fill>
    <fill>
      <patternFill patternType="solid">
        <fgColor theme="6" tint="0.59999389629810485"/>
        <bgColor indexed="65"/>
      </patternFill>
    </fill>
  </fills>
  <borders count="96">
    <border>
      <left/>
      <right/>
      <top/>
      <bottom/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 style="double">
        <color indexed="64"/>
      </top>
      <bottom style="double">
        <color indexed="64"/>
      </bottom>
      <diagonal/>
    </border>
    <border>
      <left/>
      <right style="double">
        <color indexed="64"/>
      </right>
      <top/>
      <bottom style="double">
        <color indexed="64"/>
      </bottom>
      <diagonal/>
    </border>
    <border>
      <left/>
      <right style="double">
        <color indexed="64"/>
      </right>
      <top/>
      <bottom/>
      <diagonal/>
    </border>
    <border>
      <left/>
      <right/>
      <top style="double">
        <color indexed="64"/>
      </top>
      <bottom/>
      <diagonal/>
    </border>
    <border>
      <left style="double">
        <color indexed="64"/>
      </left>
      <right/>
      <top/>
      <bottom/>
      <diagonal/>
    </border>
    <border>
      <left style="double">
        <color indexed="64"/>
      </left>
      <right/>
      <top style="double">
        <color indexed="64"/>
      </top>
      <bottom style="double">
        <color indexed="64"/>
      </bottom>
      <diagonal/>
    </border>
    <border>
      <left/>
      <right/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 style="double">
        <color indexed="64"/>
      </right>
      <top/>
      <bottom/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  <border>
      <left style="double">
        <color indexed="64"/>
      </left>
      <right/>
      <top style="double">
        <color indexed="64"/>
      </top>
      <bottom/>
      <diagonal/>
    </border>
    <border>
      <left/>
      <right style="double">
        <color indexed="64"/>
      </right>
      <top style="double">
        <color indexed="64"/>
      </top>
      <bottom/>
      <diagonal/>
    </border>
    <border>
      <left style="double">
        <color indexed="64"/>
      </left>
      <right/>
      <top/>
      <bottom style="double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 style="thin">
        <color rgb="FF7F7F7F"/>
      </left>
      <right/>
      <top style="thin">
        <color rgb="FF7F7F7F"/>
      </top>
      <bottom style="thin">
        <color rgb="FF7F7F7F"/>
      </bottom>
      <diagonal/>
    </border>
    <border>
      <left/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medium">
        <color theme="4" tint="-0.249977111117893"/>
      </left>
      <right/>
      <top style="medium">
        <color theme="4" tint="-0.249977111117893"/>
      </top>
      <bottom/>
      <diagonal/>
    </border>
    <border>
      <left/>
      <right style="thin">
        <color theme="4" tint="-0.249977111117893"/>
      </right>
      <top style="medium">
        <color theme="4" tint="-0.249977111117893"/>
      </top>
      <bottom/>
      <diagonal/>
    </border>
    <border>
      <left style="thin">
        <color theme="4" tint="-0.249977111117893"/>
      </left>
      <right style="thin">
        <color theme="4" tint="-0.249977111117893"/>
      </right>
      <top style="medium">
        <color theme="4" tint="-0.249977111117893"/>
      </top>
      <bottom style="thin">
        <color theme="4" tint="-0.249977111117893"/>
      </bottom>
      <diagonal/>
    </border>
    <border>
      <left style="thin">
        <color theme="4" tint="-0.249977111117893"/>
      </left>
      <right style="thin">
        <color theme="4" tint="-0.249977111117893"/>
      </right>
      <top style="medium">
        <color theme="4" tint="-0.249977111117893"/>
      </top>
      <bottom/>
      <diagonal/>
    </border>
    <border>
      <left style="thin">
        <color theme="4" tint="-0.249977111117893"/>
      </left>
      <right style="medium">
        <color theme="4" tint="-0.249977111117893"/>
      </right>
      <top style="medium">
        <color theme="4" tint="-0.249977111117893"/>
      </top>
      <bottom/>
      <diagonal/>
    </border>
    <border>
      <left style="thin">
        <color theme="4" tint="-0.249977111117893"/>
      </left>
      <right style="medium">
        <color theme="4" tint="-0.249977111117893"/>
      </right>
      <top style="medium">
        <color theme="4" tint="-0.249977111117893"/>
      </top>
      <bottom style="thin">
        <color theme="4" tint="-0.249977111117893"/>
      </bottom>
      <diagonal/>
    </border>
    <border>
      <left style="medium">
        <color theme="4" tint="-0.249977111117893"/>
      </left>
      <right style="medium">
        <color theme="4" tint="-0.249977111117893"/>
      </right>
      <top style="medium">
        <color theme="4" tint="-0.249977111117893"/>
      </top>
      <bottom/>
      <diagonal/>
    </border>
    <border>
      <left style="medium">
        <color theme="4" tint="-0.249977111117893"/>
      </left>
      <right/>
      <top/>
      <bottom/>
      <diagonal/>
    </border>
    <border>
      <left/>
      <right style="thin">
        <color theme="4" tint="-0.249977111117893"/>
      </right>
      <top/>
      <bottom/>
      <diagonal/>
    </border>
    <border>
      <left style="thin">
        <color theme="4" tint="-0.249977111117893"/>
      </left>
      <right style="thin">
        <color theme="4" tint="-0.249977111117893"/>
      </right>
      <top style="thin">
        <color theme="4" tint="-0.249977111117893"/>
      </top>
      <bottom/>
      <diagonal/>
    </border>
    <border>
      <left style="thin">
        <color theme="4" tint="-0.249977111117893"/>
      </left>
      <right style="thin">
        <color theme="4" tint="-0.249977111117893"/>
      </right>
      <top/>
      <bottom/>
      <diagonal/>
    </border>
    <border>
      <left style="thin">
        <color theme="4" tint="-0.249977111117893"/>
      </left>
      <right style="medium">
        <color theme="4" tint="-0.249977111117893"/>
      </right>
      <top/>
      <bottom/>
      <diagonal/>
    </border>
    <border>
      <left style="thin">
        <color theme="4" tint="-0.249977111117893"/>
      </left>
      <right style="medium">
        <color theme="4" tint="-0.249977111117893"/>
      </right>
      <top style="thin">
        <color theme="4" tint="-0.249977111117893"/>
      </top>
      <bottom/>
      <diagonal/>
    </border>
    <border>
      <left style="medium">
        <color theme="4" tint="-0.249977111117893"/>
      </left>
      <right style="medium">
        <color theme="4" tint="-0.249977111117893"/>
      </right>
      <top/>
      <bottom/>
      <diagonal/>
    </border>
    <border>
      <left style="medium">
        <color indexed="64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indexed="64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medium">
        <color indexed="64"/>
      </top>
      <bottom style="thin">
        <color auto="1"/>
      </bottom>
      <diagonal/>
    </border>
    <border>
      <left style="medium">
        <color theme="4" tint="-0.249977111117893"/>
      </left>
      <right/>
      <top style="medium">
        <color theme="4" tint="-0.249977111117893"/>
      </top>
      <bottom style="thin">
        <color theme="4" tint="-0.249977111117893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medium">
        <color indexed="64"/>
      </right>
      <top style="thin">
        <color auto="1"/>
      </top>
      <bottom style="thin">
        <color auto="1"/>
      </bottom>
      <diagonal/>
    </border>
    <border>
      <left style="medium">
        <color theme="4" tint="-0.249977111117893"/>
      </left>
      <right/>
      <top style="thin">
        <color theme="4" tint="-0.249977111117893"/>
      </top>
      <bottom style="thin">
        <color theme="4" tint="-0.249977111117893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medium">
        <color indexed="64"/>
      </bottom>
      <diagonal/>
    </border>
    <border>
      <left style="medium">
        <color theme="4" tint="-0.249977111117893"/>
      </left>
      <right style="thin">
        <color theme="4" tint="-0.249977111117893"/>
      </right>
      <top style="medium">
        <color theme="4" tint="-0.249977111117893"/>
      </top>
      <bottom style="thin">
        <color theme="4" tint="-0.249977111117893"/>
      </bottom>
      <diagonal/>
    </border>
    <border>
      <left style="medium">
        <color theme="4" tint="-0.249977111117893"/>
      </left>
      <right style="thin">
        <color theme="4" tint="-0.249977111117893"/>
      </right>
      <top style="thin">
        <color theme="4" tint="-0.249977111117893"/>
      </top>
      <bottom style="thin">
        <color theme="4" tint="-0.249977111117893"/>
      </bottom>
      <diagonal/>
    </border>
    <border>
      <left style="thin">
        <color theme="4" tint="-0.249977111117893"/>
      </left>
      <right style="medium">
        <color theme="4" tint="-0.249977111117893"/>
      </right>
      <top style="thin">
        <color theme="4" tint="-0.249977111117893"/>
      </top>
      <bottom style="thin">
        <color theme="4" tint="-0.249977111117893"/>
      </bottom>
      <diagonal/>
    </border>
    <border>
      <left style="medium">
        <color theme="4" tint="-0.249977111117893"/>
      </left>
      <right style="thin">
        <color theme="4" tint="-0.249977111117893"/>
      </right>
      <top style="thin">
        <color theme="4" tint="-0.249977111117893"/>
      </top>
      <bottom style="medium">
        <color theme="4" tint="-0.249977111117893"/>
      </bottom>
      <diagonal/>
    </border>
    <border>
      <left style="thin">
        <color theme="4" tint="-0.249977111117893"/>
      </left>
      <right style="medium">
        <color theme="4" tint="-0.249977111117893"/>
      </right>
      <top style="thin">
        <color theme="4" tint="-0.249977111117893"/>
      </top>
      <bottom style="medium">
        <color theme="4" tint="-0.249977111117893"/>
      </bottom>
      <diagonal/>
    </border>
    <border>
      <left style="medium">
        <color rgb="FFDDDDDD"/>
      </left>
      <right style="medium">
        <color rgb="FFDDDDDD"/>
      </right>
      <top style="medium">
        <color rgb="FFDDDDDD"/>
      </top>
      <bottom style="medium">
        <color rgb="FFDDDDDD"/>
      </bottom>
      <diagonal/>
    </border>
    <border>
      <left style="medium">
        <color rgb="FFFFFFFF"/>
      </left>
      <right style="medium">
        <color rgb="FFDDDDDD"/>
      </right>
      <top style="medium">
        <color rgb="FFDDDDDD"/>
      </top>
      <bottom style="medium">
        <color rgb="FFDDDDDD"/>
      </bottom>
      <diagonal/>
    </border>
    <border>
      <left/>
      <right/>
      <top style="thin">
        <color indexed="64"/>
      </top>
      <bottom style="double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 style="thin">
        <color theme="4" tint="-0.499984740745262"/>
      </right>
      <top style="medium">
        <color theme="4" tint="-0.499984740745262"/>
      </top>
      <bottom style="thin">
        <color theme="4" tint="-0.499984740745262"/>
      </bottom>
      <diagonal/>
    </border>
    <border>
      <left style="thin">
        <color theme="4" tint="-0.499984740745262"/>
      </left>
      <right style="thin">
        <color theme="4" tint="-0.499984740745262"/>
      </right>
      <top style="medium">
        <color theme="4" tint="-0.499984740745262"/>
      </top>
      <bottom style="thin">
        <color theme="4" tint="-0.499984740745262"/>
      </bottom>
      <diagonal/>
    </border>
    <border>
      <left style="thin">
        <color theme="4" tint="-0.499984740745262"/>
      </left>
      <right style="medium">
        <color theme="4" tint="-0.499984740745262"/>
      </right>
      <top style="medium">
        <color theme="4" tint="-0.499984740745262"/>
      </top>
      <bottom style="thin">
        <color theme="4" tint="-0.499984740745262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thin">
        <color theme="4" tint="-0.499984740745262"/>
      </right>
      <top style="thin">
        <color theme="4" tint="-0.499984740745262"/>
      </top>
      <bottom style="thin">
        <color theme="4" tint="-0.499984740745262"/>
      </bottom>
      <diagonal/>
    </border>
    <border>
      <left style="thin">
        <color theme="4" tint="-0.499984740745262"/>
      </left>
      <right style="thin">
        <color theme="4" tint="-0.499984740745262"/>
      </right>
      <top style="thin">
        <color theme="4" tint="-0.499984740745262"/>
      </top>
      <bottom style="thin">
        <color theme="4" tint="-0.499984740745262"/>
      </bottom>
      <diagonal/>
    </border>
    <border>
      <left style="thin">
        <color theme="4" tint="-0.499984740745262"/>
      </left>
      <right style="medium">
        <color theme="4" tint="-0.499984740745262"/>
      </right>
      <top style="thin">
        <color theme="4" tint="-0.499984740745262"/>
      </top>
      <bottom style="thin">
        <color theme="4" tint="-0.499984740745262"/>
      </bottom>
      <diagonal/>
    </border>
    <border>
      <left style="medium">
        <color theme="4" tint="-0.499984740745262"/>
      </left>
      <right style="thin">
        <color theme="4" tint="-0.499984740745262"/>
      </right>
      <top/>
      <bottom style="thin">
        <color theme="4" tint="-0.499984740745262"/>
      </bottom>
      <diagonal/>
    </border>
    <border>
      <left style="medium">
        <color theme="4" tint="-0.499984740745262"/>
      </left>
      <right style="thin">
        <color theme="4" tint="-0.499984740745262"/>
      </right>
      <top style="thin">
        <color theme="4" tint="-0.499984740745262"/>
      </top>
      <bottom style="thin">
        <color theme="4" tint="-0.499984740745262"/>
      </bottom>
      <diagonal/>
    </border>
    <border>
      <left style="thin">
        <color theme="4" tint="-0.499984740745262"/>
      </left>
      <right style="thin">
        <color theme="4" tint="-0.499984740745262"/>
      </right>
      <top style="thin">
        <color theme="4" tint="-0.499984740745262"/>
      </top>
      <bottom style="medium">
        <color theme="4" tint="-0.499984740745262"/>
      </bottom>
      <diagonal/>
    </border>
    <border>
      <left style="thin">
        <color theme="4" tint="-0.499984740745262"/>
      </left>
      <right style="medium">
        <color theme="4" tint="-0.499984740745262"/>
      </right>
      <top style="thin">
        <color theme="4" tint="-0.499984740745262"/>
      </top>
      <bottom style="medium">
        <color theme="4" tint="-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/>
      <diagonal/>
    </border>
    <border>
      <left style="thin">
        <color theme="4" tint="-0.499984740745262"/>
      </left>
      <right style="thin">
        <color theme="4" tint="-0.499984740745262"/>
      </right>
      <top/>
      <bottom/>
      <diagonal/>
    </border>
    <border>
      <left/>
      <right/>
      <top style="medium">
        <color theme="1" tint="0.499984740745262"/>
      </top>
      <bottom style="double">
        <color theme="1" tint="0.499984740745262"/>
      </bottom>
      <diagonal/>
    </border>
    <border>
      <left style="medium">
        <color theme="1" tint="0.499984740745262"/>
      </left>
      <right style="thin">
        <color theme="4" tint="-0.499984740745262"/>
      </right>
      <top/>
      <bottom/>
      <diagonal/>
    </border>
    <border>
      <left style="medium">
        <color theme="1" tint="0.499984740745262"/>
      </left>
      <right style="thin">
        <color theme="4" tint="-0.499984740745262"/>
      </right>
      <top style="thin">
        <color theme="4" tint="-0.499984740745262"/>
      </top>
      <bottom style="medium">
        <color theme="1" tint="0.499984740745262"/>
      </bottom>
      <diagonal/>
    </border>
    <border>
      <left style="thin">
        <color theme="4" tint="-0.499984740745262"/>
      </left>
      <right style="thin">
        <color theme="4" tint="-0.499984740745262"/>
      </right>
      <top style="thin">
        <color theme="4" tint="-0.499984740745262"/>
      </top>
      <bottom style="medium">
        <color theme="1" tint="0.499984740745262"/>
      </bottom>
      <diagonal/>
    </border>
    <border>
      <left style="medium">
        <color theme="1" tint="0.499984740745262"/>
      </left>
      <right style="medium">
        <color theme="1" tint="0.499984740745262"/>
      </right>
      <top style="medium">
        <color theme="1" tint="0.499984740745262"/>
      </top>
      <bottom style="thin">
        <color theme="1" tint="0.499984740745262"/>
      </bottom>
      <diagonal/>
    </border>
    <border>
      <left style="medium">
        <color theme="1" tint="0.499984740745262"/>
      </left>
      <right style="medium">
        <color theme="1" tint="0.499984740745262"/>
      </right>
      <top style="thin">
        <color theme="1" tint="0.499984740745262"/>
      </top>
      <bottom style="thin">
        <color theme="1" tint="0.499984740745262"/>
      </bottom>
      <diagonal/>
    </border>
    <border>
      <left style="medium">
        <color theme="1" tint="0.499984740745262"/>
      </left>
      <right style="medium">
        <color theme="1" tint="0.499984740745262"/>
      </right>
      <top style="thin">
        <color theme="1" tint="0.499984740745262"/>
      </top>
      <bottom style="medium">
        <color theme="1" tint="0.499984740745262"/>
      </bottom>
      <diagonal/>
    </border>
    <border>
      <left style="medium">
        <color theme="1" tint="0.34998626667073579"/>
      </left>
      <right/>
      <top style="medium">
        <color theme="1" tint="0.34998626667073579"/>
      </top>
      <bottom style="medium">
        <color theme="1" tint="0.34998626667073579"/>
      </bottom>
      <diagonal/>
    </border>
    <border>
      <left/>
      <right style="thin">
        <color theme="1" tint="0.34998626667073579"/>
      </right>
      <top style="medium">
        <color theme="1" tint="0.34998626667073579"/>
      </top>
      <bottom style="medium">
        <color theme="1" tint="0.34998626667073579"/>
      </bottom>
      <diagonal/>
    </border>
    <border>
      <left/>
      <right style="thin">
        <color auto="1"/>
      </right>
      <top style="medium">
        <color theme="1" tint="0.34998626667073579"/>
      </top>
      <bottom style="medium">
        <color theme="1" tint="0.34998626667073579"/>
      </bottom>
      <diagonal/>
    </border>
    <border>
      <left style="thin">
        <color auto="1"/>
      </left>
      <right style="thin">
        <color auto="1"/>
      </right>
      <top style="medium">
        <color theme="1" tint="0.34998626667073579"/>
      </top>
      <bottom style="medium">
        <color theme="1" tint="0.34998626667073579"/>
      </bottom>
      <diagonal/>
    </border>
    <border>
      <left style="thin">
        <color auto="1"/>
      </left>
      <right style="medium">
        <color theme="1" tint="0.34998626667073579"/>
      </right>
      <top style="medium">
        <color theme="1" tint="0.34998626667073579"/>
      </top>
      <bottom style="medium">
        <color theme="1" tint="0.34998626667073579"/>
      </bottom>
      <diagonal/>
    </border>
    <border>
      <left style="medium">
        <color theme="1" tint="0.499984740745262"/>
      </left>
      <right style="thin">
        <color theme="4" tint="-0.499984740745262"/>
      </right>
      <top style="thin">
        <color theme="4" tint="-0.499984740745262"/>
      </top>
      <bottom style="thin">
        <color theme="1" tint="0.499984740745262"/>
      </bottom>
      <diagonal/>
    </border>
    <border>
      <left style="thin">
        <color theme="4" tint="-0.499984740745262"/>
      </left>
      <right style="thin">
        <color theme="4" tint="-0.499984740745262"/>
      </right>
      <top style="thin">
        <color theme="4" tint="-0.499984740745262"/>
      </top>
      <bottom style="thin">
        <color theme="1" tint="0.499984740745262"/>
      </bottom>
      <diagonal/>
    </border>
    <border>
      <left/>
      <right/>
      <top/>
      <bottom style="medium">
        <color theme="1" tint="0.34998626667073579"/>
      </bottom>
      <diagonal/>
    </border>
    <border>
      <left style="thin">
        <color theme="1" tint="0.499984740745262"/>
      </left>
      <right style="thin">
        <color theme="1" tint="0.499984740745262"/>
      </right>
      <top style="thin">
        <color theme="1" tint="0.499984740745262"/>
      </top>
      <bottom style="thin">
        <color theme="1" tint="0.499984740745262"/>
      </bottom>
      <diagonal/>
    </border>
    <border>
      <left style="medium">
        <color theme="1" tint="0.499984740745262"/>
      </left>
      <right style="thin">
        <color theme="4" tint="-0.499984740745262"/>
      </right>
      <top/>
      <bottom style="thin">
        <color theme="4" tint="-0.499984740745262"/>
      </bottom>
      <diagonal/>
    </border>
    <border>
      <left style="thin">
        <color theme="1" tint="0.499984740745262"/>
      </left>
      <right style="thin">
        <color theme="1" tint="0.499984740745262"/>
      </right>
      <top style="thin">
        <color theme="1" tint="0.499984740745262"/>
      </top>
      <bottom/>
      <diagonal/>
    </border>
    <border>
      <left style="thin">
        <color theme="1" tint="0.499984740745262"/>
      </left>
      <right style="thin">
        <color theme="1" tint="0.499984740745262"/>
      </right>
      <top/>
      <bottom style="thin">
        <color theme="1" tint="0.499984740745262"/>
      </bottom>
      <diagonal/>
    </border>
    <border>
      <left style="thin">
        <color theme="4" tint="-0.499984740745262"/>
      </left>
      <right style="thin">
        <color theme="4" tint="-0.499984740745262"/>
      </right>
      <top/>
      <bottom style="thin">
        <color theme="4" tint="-0.499984740745262"/>
      </bottom>
      <diagonal/>
    </border>
    <border>
      <left style="thin">
        <color theme="1" tint="0.499984740745262"/>
      </left>
      <right style="thin">
        <color theme="4" tint="-0.499984740745262"/>
      </right>
      <top style="medium">
        <color theme="1" tint="0.499984740745262"/>
      </top>
      <bottom style="thin">
        <color theme="1" tint="0.499984740745262"/>
      </bottom>
      <diagonal/>
    </border>
    <border>
      <left style="thin">
        <color theme="4" tint="-0.499984740745262"/>
      </left>
      <right style="thin">
        <color theme="4" tint="-0.499984740745262"/>
      </right>
      <top style="medium">
        <color theme="1" tint="0.499984740745262"/>
      </top>
      <bottom style="thin">
        <color theme="1" tint="0.499984740745262"/>
      </bottom>
      <diagonal/>
    </border>
    <border>
      <left style="thin">
        <color theme="4" tint="-0.499984740745262"/>
      </left>
      <right style="thin">
        <color theme="1" tint="0.499984740745262"/>
      </right>
      <top style="medium">
        <color theme="1" tint="0.499984740745262"/>
      </top>
      <bottom style="thin">
        <color theme="1" tint="0.499984740745262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medium">
        <color rgb="FFFFFFFF"/>
      </left>
      <right/>
      <top style="medium">
        <color rgb="FFDDDDDD"/>
      </top>
      <bottom style="medium">
        <color rgb="FFDDDDDD"/>
      </bottom>
      <diagonal/>
    </border>
    <border>
      <left/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thin">
        <color theme="4" tint="-0.249977111117893"/>
      </left>
      <right style="thin">
        <color theme="4" tint="-0.249977111117893"/>
      </right>
      <top style="medium">
        <color theme="4" tint="-0.249977111117893"/>
      </top>
      <bottom style="double">
        <color indexed="64"/>
      </bottom>
      <diagonal/>
    </border>
  </borders>
  <cellStyleXfs count="19">
    <xf numFmtId="0" fontId="0" fillId="0" borderId="0"/>
    <xf numFmtId="43" fontId="3" fillId="0" borderId="0" applyFont="0" applyFill="0" applyBorder="0" applyAlignment="0" applyProtection="0"/>
    <xf numFmtId="44" fontId="3" fillId="0" borderId="0" applyFont="0" applyFill="0" applyBorder="0" applyAlignment="0" applyProtection="0"/>
    <xf numFmtId="9" fontId="3" fillId="0" borderId="0" applyFont="0" applyFill="0" applyBorder="0" applyAlignment="0" applyProtection="0"/>
    <xf numFmtId="0" fontId="29" fillId="0" borderId="16" applyNumberFormat="0" applyFill="0" applyAlignment="0" applyProtection="0"/>
    <xf numFmtId="0" fontId="30" fillId="4" borderId="0" applyNumberFormat="0" applyBorder="0" applyAlignment="0" applyProtection="0"/>
    <xf numFmtId="0" fontId="31" fillId="5" borderId="17" applyNumberFormat="0" applyAlignment="0" applyProtection="0"/>
    <xf numFmtId="0" fontId="32" fillId="6" borderId="18" applyNumberFormat="0" applyAlignment="0" applyProtection="0"/>
    <xf numFmtId="0" fontId="33" fillId="6" borderId="17" applyNumberFormat="0" applyAlignment="0" applyProtection="0"/>
    <xf numFmtId="0" fontId="34" fillId="7" borderId="19" applyNumberFormat="0" applyAlignment="0" applyProtection="0"/>
    <xf numFmtId="0" fontId="35" fillId="0" borderId="0" applyNumberFormat="0" applyFill="0" applyBorder="0" applyAlignment="0" applyProtection="0"/>
    <xf numFmtId="0" fontId="3" fillId="8" borderId="20" applyNumberFormat="0" applyFont="0" applyAlignment="0" applyProtection="0"/>
    <xf numFmtId="0" fontId="18" fillId="0" borderId="21" applyNumberFormat="0" applyFill="0" applyAlignment="0" applyProtection="0"/>
    <xf numFmtId="0" fontId="36" fillId="9" borderId="0" applyNumberFormat="0" applyBorder="0" applyAlignment="0" applyProtection="0"/>
    <xf numFmtId="0" fontId="2" fillId="10" borderId="0" applyNumberFormat="0" applyBorder="0" applyAlignment="0" applyProtection="0"/>
    <xf numFmtId="0" fontId="2" fillId="11" borderId="0" applyNumberFormat="0" applyBorder="0" applyAlignment="0" applyProtection="0"/>
    <xf numFmtId="0" fontId="36" fillId="12" borderId="0" applyNumberFormat="0" applyBorder="0" applyAlignment="0" applyProtection="0"/>
    <xf numFmtId="0" fontId="36" fillId="13" borderId="0" applyNumberFormat="0" applyBorder="0" applyAlignment="0" applyProtection="0"/>
    <xf numFmtId="0" fontId="1" fillId="29" borderId="0" applyNumberFormat="0" applyBorder="0" applyAlignment="0" applyProtection="0"/>
  </cellStyleXfs>
  <cellXfs count="382">
    <xf numFmtId="0" fontId="0" fillId="0" borderId="0" xfId="0"/>
    <xf numFmtId="15" fontId="5" fillId="0" borderId="0" xfId="0" applyNumberFormat="1" applyFont="1"/>
    <xf numFmtId="15" fontId="6" fillId="0" borderId="0" xfId="0" applyNumberFormat="1" applyFont="1" applyAlignment="1">
      <alignment horizontal="center" vertical="center"/>
    </xf>
    <xf numFmtId="0" fontId="0" fillId="2" borderId="0" xfId="0" applyFill="1"/>
    <xf numFmtId="0" fontId="4" fillId="2" borderId="0" xfId="0" applyFont="1" applyFill="1" applyAlignment="1">
      <alignment horizont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/>
    </xf>
    <xf numFmtId="0" fontId="8" fillId="2" borderId="0" xfId="0" applyFont="1" applyFill="1" applyAlignment="1">
      <alignment horizontal="center"/>
    </xf>
    <xf numFmtId="0" fontId="7" fillId="0" borderId="0" xfId="0" applyFont="1" applyAlignment="1">
      <alignment horizontal="left"/>
    </xf>
    <xf numFmtId="0" fontId="4" fillId="0" borderId="0" xfId="0" applyFont="1" applyAlignment="1">
      <alignment vertical="center"/>
    </xf>
    <xf numFmtId="0" fontId="9" fillId="0" borderId="0" xfId="0" applyFont="1"/>
    <xf numFmtId="7" fontId="10" fillId="2" borderId="0" xfId="2" applyNumberFormat="1" applyFont="1" applyFill="1" applyAlignment="1">
      <alignment vertical="center"/>
    </xf>
    <xf numFmtId="0" fontId="19" fillId="0" borderId="0" xfId="0" applyFont="1"/>
    <xf numFmtId="0" fontId="20" fillId="0" borderId="0" xfId="0" applyFont="1" applyAlignment="1">
      <alignment vertical="center"/>
    </xf>
    <xf numFmtId="8" fontId="5" fillId="0" borderId="0" xfId="0" applyNumberFormat="1" applyFont="1"/>
    <xf numFmtId="10" fontId="15" fillId="0" borderId="0" xfId="0" applyNumberFormat="1" applyFont="1" applyAlignment="1">
      <alignment vertical="center" wrapText="1"/>
    </xf>
    <xf numFmtId="0" fontId="21" fillId="0" borderId="0" xfId="0" applyFont="1" applyAlignment="1">
      <alignment vertical="top" wrapText="1"/>
    </xf>
    <xf numFmtId="0" fontId="25" fillId="0" borderId="0" xfId="0" applyFont="1" applyAlignment="1">
      <alignment horizontal="right" vertical="center"/>
    </xf>
    <xf numFmtId="0" fontId="25" fillId="0" borderId="0" xfId="0" applyFont="1" applyAlignment="1">
      <alignment horizontal="right"/>
    </xf>
    <xf numFmtId="0" fontId="13" fillId="0" borderId="0" xfId="0" applyFont="1" applyAlignment="1">
      <alignment vertical="center"/>
    </xf>
    <xf numFmtId="0" fontId="26" fillId="0" borderId="0" xfId="0" applyFont="1" applyAlignment="1">
      <alignment vertical="center"/>
    </xf>
    <xf numFmtId="0" fontId="27" fillId="0" borderId="0" xfId="0" applyFont="1" applyAlignment="1">
      <alignment horizontal="justify" vertical="center"/>
    </xf>
    <xf numFmtId="0" fontId="28" fillId="0" borderId="0" xfId="0" applyFont="1" applyAlignment="1">
      <alignment vertical="center"/>
    </xf>
    <xf numFmtId="43" fontId="37" fillId="14" borderId="0" xfId="0" applyNumberFormat="1" applyFont="1" applyFill="1" applyAlignment="1">
      <alignment horizontal="center" vertical="center"/>
    </xf>
    <xf numFmtId="0" fontId="37" fillId="14" borderId="0" xfId="0" applyFont="1" applyFill="1" applyAlignment="1">
      <alignment horizontal="left" vertical="center"/>
    </xf>
    <xf numFmtId="0" fontId="22" fillId="0" borderId="0" xfId="0" applyFont="1" applyAlignment="1">
      <alignment horizontal="center" vertical="center"/>
    </xf>
    <xf numFmtId="0" fontId="37" fillId="0" borderId="0" xfId="0" applyFont="1" applyAlignment="1">
      <alignment horizontal="center" vertical="center"/>
    </xf>
    <xf numFmtId="0" fontId="38" fillId="0" borderId="0" xfId="0" applyFont="1" applyAlignment="1">
      <alignment horizontal="center" vertical="center"/>
    </xf>
    <xf numFmtId="0" fontId="39" fillId="9" borderId="0" xfId="13" applyFont="1" applyAlignment="1">
      <alignment horizontal="center" vertical="center"/>
    </xf>
    <xf numFmtId="165" fontId="39" fillId="9" borderId="0" xfId="13" applyNumberFormat="1" applyFont="1" applyAlignment="1">
      <alignment horizontal="center" vertical="center"/>
    </xf>
    <xf numFmtId="0" fontId="38" fillId="0" borderId="0" xfId="0" applyFont="1"/>
    <xf numFmtId="166" fontId="37" fillId="14" borderId="0" xfId="0" applyNumberFormat="1" applyFont="1" applyFill="1" applyAlignment="1">
      <alignment vertical="center"/>
    </xf>
    <xf numFmtId="0" fontId="37" fillId="14" borderId="0" xfId="0" applyFont="1" applyFill="1" applyAlignment="1">
      <alignment vertical="center"/>
    </xf>
    <xf numFmtId="0" fontId="22" fillId="0" borderId="21" xfId="12" applyFont="1" applyAlignment="1">
      <alignment horizontal="center" vertical="center"/>
    </xf>
    <xf numFmtId="0" fontId="38" fillId="0" borderId="0" xfId="0" applyFont="1" applyAlignment="1">
      <alignment vertical="center"/>
    </xf>
    <xf numFmtId="0" fontId="38" fillId="0" borderId="0" xfId="0" applyFont="1" applyAlignment="1">
      <alignment horizontal="left" vertical="center"/>
    </xf>
    <xf numFmtId="0" fontId="40" fillId="6" borderId="0" xfId="8" applyFont="1" applyBorder="1" applyAlignment="1">
      <alignment horizontal="left" vertical="center" wrapText="1"/>
    </xf>
    <xf numFmtId="43" fontId="41" fillId="6" borderId="0" xfId="8" applyNumberFormat="1" applyFont="1" applyBorder="1" applyAlignment="1">
      <alignment vertical="center"/>
    </xf>
    <xf numFmtId="0" fontId="40" fillId="6" borderId="0" xfId="8" applyFont="1" applyBorder="1" applyAlignment="1">
      <alignment vertical="center"/>
    </xf>
    <xf numFmtId="43" fontId="14" fillId="0" borderId="0" xfId="1" applyFont="1"/>
    <xf numFmtId="167" fontId="38" fillId="0" borderId="0" xfId="3" applyNumberFormat="1" applyFont="1"/>
    <xf numFmtId="0" fontId="42" fillId="5" borderId="17" xfId="6" applyFont="1" applyAlignment="1">
      <alignment horizontal="left" vertical="center"/>
    </xf>
    <xf numFmtId="168" fontId="43" fillId="8" borderId="20" xfId="11" applyNumberFormat="1" applyFont="1"/>
    <xf numFmtId="0" fontId="31" fillId="5" borderId="17" xfId="6"/>
    <xf numFmtId="0" fontId="14" fillId="0" borderId="0" xfId="0" applyFont="1"/>
    <xf numFmtId="0" fontId="44" fillId="5" borderId="17" xfId="6" applyFont="1" applyAlignment="1">
      <alignment horizontal="left" vertical="center"/>
    </xf>
    <xf numFmtId="168" fontId="14" fillId="0" borderId="0" xfId="0" applyNumberFormat="1" applyFont="1"/>
    <xf numFmtId="168" fontId="0" fillId="0" borderId="0" xfId="0" applyNumberFormat="1"/>
    <xf numFmtId="44" fontId="14" fillId="0" borderId="0" xfId="2" applyFont="1"/>
    <xf numFmtId="169" fontId="14" fillId="0" borderId="0" xfId="0" applyNumberFormat="1" applyFont="1"/>
    <xf numFmtId="169" fontId="0" fillId="0" borderId="0" xfId="0" applyNumberFormat="1"/>
    <xf numFmtId="43" fontId="43" fillId="8" borderId="20" xfId="11" applyNumberFormat="1" applyFont="1"/>
    <xf numFmtId="43" fontId="43" fillId="8" borderId="20" xfId="11" applyNumberFormat="1" applyFont="1" applyAlignment="1">
      <alignment horizontal="center" vertical="center"/>
    </xf>
    <xf numFmtId="170" fontId="14" fillId="0" borderId="0" xfId="0" applyNumberFormat="1" applyFont="1"/>
    <xf numFmtId="170" fontId="0" fillId="0" borderId="0" xfId="0" applyNumberFormat="1"/>
    <xf numFmtId="0" fontId="42" fillId="5" borderId="17" xfId="6" applyFont="1"/>
    <xf numFmtId="169" fontId="45" fillId="4" borderId="17" xfId="5" applyNumberFormat="1" applyFont="1" applyBorder="1"/>
    <xf numFmtId="165" fontId="42" fillId="15" borderId="17" xfId="6" applyNumberFormat="1" applyFont="1" applyFill="1"/>
    <xf numFmtId="171" fontId="42" fillId="5" borderId="17" xfId="6" applyNumberFormat="1" applyFont="1"/>
    <xf numFmtId="0" fontId="45" fillId="4" borderId="17" xfId="5" applyFont="1" applyBorder="1"/>
    <xf numFmtId="10" fontId="45" fillId="4" borderId="17" xfId="3" applyNumberFormat="1" applyFont="1" applyFill="1" applyBorder="1"/>
    <xf numFmtId="169" fontId="46" fillId="0" borderId="0" xfId="0" applyNumberFormat="1" applyFont="1"/>
    <xf numFmtId="169" fontId="47" fillId="0" borderId="0" xfId="0" applyNumberFormat="1" applyFont="1"/>
    <xf numFmtId="0" fontId="48" fillId="4" borderId="17" xfId="5" applyFont="1" applyBorder="1"/>
    <xf numFmtId="169" fontId="49" fillId="16" borderId="0" xfId="5" applyNumberFormat="1" applyFont="1" applyFill="1"/>
    <xf numFmtId="169" fontId="48" fillId="4" borderId="17" xfId="5" applyNumberFormat="1" applyFont="1" applyBorder="1"/>
    <xf numFmtId="169" fontId="50" fillId="0" borderId="0" xfId="0" applyNumberFormat="1" applyFont="1"/>
    <xf numFmtId="0" fontId="18" fillId="0" borderId="0" xfId="0" applyFont="1" applyAlignment="1">
      <alignment horizontal="right"/>
    </xf>
    <xf numFmtId="10" fontId="0" fillId="0" borderId="0" xfId="0" applyNumberFormat="1"/>
    <xf numFmtId="170" fontId="4" fillId="0" borderId="0" xfId="1" applyNumberFormat="1" applyFont="1"/>
    <xf numFmtId="1" fontId="14" fillId="0" borderId="0" xfId="0" applyNumberFormat="1" applyFont="1"/>
    <xf numFmtId="172" fontId="14" fillId="0" borderId="0" xfId="0" applyNumberFormat="1" applyFont="1"/>
    <xf numFmtId="0" fontId="52" fillId="5" borderId="17" xfId="6" applyFont="1"/>
    <xf numFmtId="0" fontId="51" fillId="17" borderId="0" xfId="0" applyFont="1" applyFill="1"/>
    <xf numFmtId="9" fontId="51" fillId="17" borderId="0" xfId="0" applyNumberFormat="1" applyFont="1" applyFill="1"/>
    <xf numFmtId="169" fontId="53" fillId="17" borderId="0" xfId="0" applyNumberFormat="1" applyFont="1" applyFill="1"/>
    <xf numFmtId="0" fontId="0" fillId="14" borderId="0" xfId="0" applyFill="1"/>
    <xf numFmtId="0" fontId="54" fillId="18" borderId="24" xfId="0" applyFont="1" applyFill="1" applyBorder="1" applyAlignment="1">
      <alignment horizontal="center" vertical="center" textRotation="45" wrapText="1"/>
    </xf>
    <xf numFmtId="173" fontId="34" fillId="18" borderId="38" xfId="0" applyNumberFormat="1" applyFont="1" applyFill="1" applyBorder="1" applyAlignment="1">
      <alignment horizontal="center" vertical="center"/>
    </xf>
    <xf numFmtId="0" fontId="0" fillId="18" borderId="39" xfId="0" applyFill="1" applyBorder="1"/>
    <xf numFmtId="170" fontId="0" fillId="18" borderId="39" xfId="1" applyNumberFormat="1" applyFont="1" applyFill="1" applyBorder="1"/>
    <xf numFmtId="174" fontId="0" fillId="18" borderId="39" xfId="2" applyNumberFormat="1" applyFont="1" applyFill="1" applyBorder="1"/>
    <xf numFmtId="166" fontId="0" fillId="18" borderId="39" xfId="0" applyNumberFormat="1" applyFill="1" applyBorder="1"/>
    <xf numFmtId="165" fontId="0" fillId="18" borderId="39" xfId="0" applyNumberFormat="1" applyFill="1" applyBorder="1"/>
    <xf numFmtId="165" fontId="0" fillId="18" borderId="40" xfId="0" applyNumberFormat="1" applyFill="1" applyBorder="1"/>
    <xf numFmtId="10" fontId="0" fillId="14" borderId="0" xfId="3" applyNumberFormat="1" applyFont="1" applyFill="1"/>
    <xf numFmtId="175" fontId="0" fillId="19" borderId="43" xfId="2" applyNumberFormat="1" applyFont="1" applyFill="1" applyBorder="1"/>
    <xf numFmtId="165" fontId="0" fillId="14" borderId="0" xfId="0" applyNumberFormat="1" applyFill="1"/>
    <xf numFmtId="0" fontId="54" fillId="14" borderId="0" xfId="0" applyFont="1" applyFill="1" applyAlignment="1">
      <alignment vertical="center" textRotation="45"/>
    </xf>
    <xf numFmtId="173" fontId="0" fillId="14" borderId="0" xfId="0" applyNumberFormat="1" applyFill="1"/>
    <xf numFmtId="170" fontId="36" fillId="9" borderId="18" xfId="13" applyNumberFormat="1" applyBorder="1"/>
    <xf numFmtId="0" fontId="0" fillId="14" borderId="43" xfId="0" applyFill="1" applyBorder="1"/>
    <xf numFmtId="171" fontId="55" fillId="5" borderId="43" xfId="6" applyNumberFormat="1" applyFont="1" applyBorder="1"/>
    <xf numFmtId="165" fontId="55" fillId="14" borderId="0" xfId="6" applyNumberFormat="1" applyFont="1" applyFill="1" applyBorder="1"/>
    <xf numFmtId="10" fontId="0" fillId="14" borderId="0" xfId="0" applyNumberFormat="1" applyFill="1"/>
    <xf numFmtId="43" fontId="0" fillId="14" borderId="0" xfId="1" applyFont="1" applyFill="1" applyBorder="1"/>
    <xf numFmtId="174" fontId="0" fillId="14" borderId="0" xfId="2" applyNumberFormat="1" applyFont="1" applyFill="1" applyBorder="1"/>
    <xf numFmtId="170" fontId="0" fillId="14" borderId="0" xfId="1" applyNumberFormat="1" applyFont="1" applyFill="1" applyBorder="1"/>
    <xf numFmtId="0" fontId="35" fillId="14" borderId="47" xfId="10" applyFill="1" applyBorder="1"/>
    <xf numFmtId="174" fontId="35" fillId="14" borderId="29" xfId="10" applyNumberFormat="1" applyFill="1" applyBorder="1"/>
    <xf numFmtId="0" fontId="2" fillId="11" borderId="48" xfId="15" applyBorder="1"/>
    <xf numFmtId="174" fontId="2" fillId="11" borderId="49" xfId="15" applyNumberFormat="1" applyBorder="1"/>
    <xf numFmtId="0" fontId="36" fillId="9" borderId="0" xfId="13"/>
    <xf numFmtId="170" fontId="36" fillId="9" borderId="0" xfId="13" applyNumberFormat="1"/>
    <xf numFmtId="0" fontId="35" fillId="14" borderId="48" xfId="10" applyFill="1" applyBorder="1"/>
    <xf numFmtId="174" fontId="35" fillId="14" borderId="49" xfId="10" applyNumberFormat="1" applyFill="1" applyBorder="1"/>
    <xf numFmtId="0" fontId="29" fillId="8" borderId="20" xfId="11" applyFont="1"/>
    <xf numFmtId="168" fontId="29" fillId="8" borderId="20" xfId="11" applyNumberFormat="1" applyFont="1"/>
    <xf numFmtId="0" fontId="31" fillId="5" borderId="50" xfId="6" applyBorder="1"/>
    <xf numFmtId="168" fontId="31" fillId="5" borderId="51" xfId="6" applyNumberFormat="1" applyBorder="1"/>
    <xf numFmtId="170" fontId="0" fillId="14" borderId="0" xfId="1" applyNumberFormat="1" applyFont="1" applyFill="1"/>
    <xf numFmtId="43" fontId="0" fillId="14" borderId="0" xfId="0" applyNumberFormat="1" applyFill="1"/>
    <xf numFmtId="167" fontId="2" fillId="11" borderId="49" xfId="15" applyNumberFormat="1" applyBorder="1"/>
    <xf numFmtId="17" fontId="0" fillId="14" borderId="0" xfId="0" applyNumberFormat="1" applyFill="1"/>
    <xf numFmtId="168" fontId="0" fillId="0" borderId="0" xfId="0" applyNumberFormat="1" applyAlignment="1">
      <alignment vertical="center" wrapText="1"/>
    </xf>
    <xf numFmtId="168" fontId="0" fillId="21" borderId="0" xfId="0" applyNumberFormat="1" applyFill="1" applyAlignment="1">
      <alignment vertical="center" wrapText="1"/>
    </xf>
    <xf numFmtId="0" fontId="0" fillId="22" borderId="54" xfId="0" applyFill="1" applyBorder="1"/>
    <xf numFmtId="3" fontId="0" fillId="22" borderId="15" xfId="0" applyNumberFormat="1" applyFill="1" applyBorder="1"/>
    <xf numFmtId="174" fontId="0" fillId="22" borderId="15" xfId="2" applyNumberFormat="1" applyFont="1" applyFill="1" applyBorder="1"/>
    <xf numFmtId="4" fontId="0" fillId="14" borderId="0" xfId="0" applyNumberFormat="1" applyFill="1"/>
    <xf numFmtId="10" fontId="29" fillId="14" borderId="0" xfId="3" applyNumberFormat="1" applyFont="1" applyFill="1"/>
    <xf numFmtId="9" fontId="0" fillId="14" borderId="0" xfId="3" applyFont="1" applyFill="1"/>
    <xf numFmtId="0" fontId="0" fillId="14" borderId="0" xfId="0" applyFill="1" applyAlignment="1">
      <alignment horizontal="right"/>
    </xf>
    <xf numFmtId="170" fontId="0" fillId="0" borderId="0" xfId="1" applyNumberFormat="1" applyFont="1"/>
    <xf numFmtId="0" fontId="29" fillId="8" borderId="56" xfId="11" applyFont="1" applyBorder="1" applyAlignment="1">
      <alignment horizontal="center" vertical="center"/>
    </xf>
    <xf numFmtId="0" fontId="29" fillId="8" borderId="57" xfId="11" applyFont="1" applyBorder="1" applyAlignment="1">
      <alignment horizontal="center" vertical="center"/>
    </xf>
    <xf numFmtId="0" fontId="29" fillId="8" borderId="58" xfId="11" applyFont="1" applyBorder="1" applyAlignment="1">
      <alignment horizontal="center" vertical="center"/>
    </xf>
    <xf numFmtId="0" fontId="34" fillId="7" borderId="60" xfId="9" applyBorder="1" applyAlignment="1">
      <alignment horizontal="center" vertical="center"/>
    </xf>
    <xf numFmtId="0" fontId="34" fillId="7" borderId="61" xfId="9" applyBorder="1" applyAlignment="1">
      <alignment horizontal="center" vertical="center"/>
    </xf>
    <xf numFmtId="0" fontId="0" fillId="0" borderId="63" xfId="0" applyBorder="1"/>
    <xf numFmtId="10" fontId="0" fillId="0" borderId="61" xfId="0" applyNumberFormat="1" applyBorder="1"/>
    <xf numFmtId="9" fontId="33" fillId="6" borderId="17" xfId="8" applyNumberFormat="1" applyAlignment="1">
      <alignment horizontal="center" vertical="center"/>
    </xf>
    <xf numFmtId="9" fontId="0" fillId="0" borderId="61" xfId="0" applyNumberFormat="1" applyBorder="1"/>
    <xf numFmtId="9" fontId="0" fillId="0" borderId="62" xfId="0" applyNumberFormat="1" applyBorder="1"/>
    <xf numFmtId="17" fontId="32" fillId="6" borderId="64" xfId="7" applyNumberFormat="1" applyBorder="1"/>
    <xf numFmtId="6" fontId="32" fillId="6" borderId="62" xfId="7" applyNumberFormat="1" applyBorder="1"/>
    <xf numFmtId="17" fontId="0" fillId="0" borderId="64" xfId="0" applyNumberFormat="1" applyBorder="1"/>
    <xf numFmtId="6" fontId="0" fillId="0" borderId="62" xfId="0" applyNumberFormat="1" applyBorder="1"/>
    <xf numFmtId="6" fontId="0" fillId="0" borderId="66" xfId="0" applyNumberFormat="1" applyBorder="1"/>
    <xf numFmtId="6" fontId="18" fillId="0" borderId="0" xfId="12" applyNumberFormat="1" applyBorder="1" applyAlignment="1">
      <alignment vertical="center"/>
    </xf>
    <xf numFmtId="6" fontId="55" fillId="5" borderId="67" xfId="6" applyNumberFormat="1" applyFont="1" applyBorder="1" applyAlignment="1">
      <alignment vertical="center"/>
    </xf>
    <xf numFmtId="6" fontId="57" fillId="8" borderId="57" xfId="11" applyNumberFormat="1" applyFont="1" applyBorder="1" applyAlignment="1">
      <alignment vertical="center"/>
    </xf>
    <xf numFmtId="6" fontId="57" fillId="23" borderId="0" xfId="11" applyNumberFormat="1" applyFont="1" applyFill="1" applyBorder="1" applyAlignment="1">
      <alignment vertical="center"/>
    </xf>
    <xf numFmtId="6" fontId="57" fillId="8" borderId="0" xfId="11" applyNumberFormat="1" applyFont="1" applyBorder="1" applyAlignment="1">
      <alignment vertical="center"/>
    </xf>
    <xf numFmtId="6" fontId="0" fillId="0" borderId="0" xfId="0" applyNumberFormat="1" applyAlignment="1">
      <alignment vertical="center"/>
    </xf>
    <xf numFmtId="6" fontId="18" fillId="0" borderId="21" xfId="12" applyNumberFormat="1"/>
    <xf numFmtId="170" fontId="58" fillId="0" borderId="0" xfId="1" applyNumberFormat="1" applyFont="1"/>
    <xf numFmtId="176" fontId="0" fillId="0" borderId="0" xfId="0" applyNumberFormat="1"/>
    <xf numFmtId="177" fontId="0" fillId="0" borderId="0" xfId="0" applyNumberFormat="1"/>
    <xf numFmtId="0" fontId="0" fillId="0" borderId="0" xfId="0" applyAlignment="1">
      <alignment horizontal="right" vertical="center"/>
    </xf>
    <xf numFmtId="170" fontId="0" fillId="0" borderId="0" xfId="0" applyNumberFormat="1" applyAlignment="1">
      <alignment horizontal="right" vertical="center"/>
    </xf>
    <xf numFmtId="170" fontId="0" fillId="0" borderId="0" xfId="1" applyNumberFormat="1" applyFont="1" applyAlignment="1">
      <alignment horizontal="right" vertical="center"/>
    </xf>
    <xf numFmtId="0" fontId="0" fillId="8" borderId="20" xfId="11" applyFont="1"/>
    <xf numFmtId="173" fontId="29" fillId="14" borderId="16" xfId="4" applyNumberFormat="1" applyFill="1" applyAlignment="1">
      <alignment horizontal="center" vertical="center"/>
    </xf>
    <xf numFmtId="0" fontId="14" fillId="14" borderId="0" xfId="0" applyFont="1" applyFill="1"/>
    <xf numFmtId="178" fontId="0" fillId="14" borderId="0" xfId="0" applyNumberFormat="1" applyFill="1"/>
    <xf numFmtId="0" fontId="18" fillId="14" borderId="21" xfId="12" applyFill="1"/>
    <xf numFmtId="173" fontId="22" fillId="14" borderId="21" xfId="12" applyNumberFormat="1" applyFont="1" applyFill="1"/>
    <xf numFmtId="0" fontId="8" fillId="14" borderId="0" xfId="0" applyFont="1" applyFill="1"/>
    <xf numFmtId="0" fontId="2" fillId="14" borderId="0" xfId="14" applyFill="1" applyBorder="1"/>
    <xf numFmtId="0" fontId="18" fillId="14" borderId="0" xfId="12" applyFill="1" applyBorder="1"/>
    <xf numFmtId="173" fontId="22" fillId="14" borderId="0" xfId="12" applyNumberFormat="1" applyFont="1" applyFill="1" applyBorder="1"/>
    <xf numFmtId="179" fontId="0" fillId="0" borderId="0" xfId="0" applyNumberFormat="1"/>
    <xf numFmtId="0" fontId="2" fillId="0" borderId="0" xfId="0" applyFont="1"/>
    <xf numFmtId="0" fontId="18" fillId="0" borderId="0" xfId="0" applyFont="1"/>
    <xf numFmtId="7" fontId="14" fillId="2" borderId="0" xfId="2" applyNumberFormat="1" applyFont="1" applyFill="1" applyAlignment="1"/>
    <xf numFmtId="6" fontId="57" fillId="0" borderId="68" xfId="11" applyNumberFormat="1" applyFont="1" applyFill="1" applyBorder="1" applyAlignment="1">
      <alignment vertical="center"/>
    </xf>
    <xf numFmtId="0" fontId="18" fillId="0" borderId="69" xfId="12" applyBorder="1"/>
    <xf numFmtId="6" fontId="18" fillId="0" borderId="69" xfId="12" applyNumberFormat="1" applyBorder="1"/>
    <xf numFmtId="10" fontId="57" fillId="0" borderId="70" xfId="11" applyNumberFormat="1" applyFont="1" applyFill="1" applyBorder="1" applyAlignment="1">
      <alignment horizontal="center" vertical="center" wrapText="1"/>
    </xf>
    <xf numFmtId="0" fontId="2" fillId="0" borderId="0" xfId="0" applyFont="1" applyAlignment="1">
      <alignment horizontal="center" vertical="center" wrapText="1"/>
    </xf>
    <xf numFmtId="10" fontId="57" fillId="0" borderId="81" xfId="11" applyNumberFormat="1" applyFont="1" applyFill="1" applyBorder="1" applyAlignment="1">
      <alignment horizontal="center" vertical="center" wrapText="1"/>
    </xf>
    <xf numFmtId="6" fontId="57" fillId="0" borderId="82" xfId="11" applyNumberFormat="1" applyFont="1" applyFill="1" applyBorder="1" applyAlignment="1">
      <alignment vertical="center"/>
    </xf>
    <xf numFmtId="0" fontId="4" fillId="25" borderId="83" xfId="0" applyFont="1" applyFill="1" applyBorder="1" applyAlignment="1">
      <alignment vertical="center"/>
    </xf>
    <xf numFmtId="6" fontId="55" fillId="5" borderId="0" xfId="6" applyNumberFormat="1" applyFont="1" applyBorder="1" applyAlignment="1">
      <alignment vertical="center"/>
    </xf>
    <xf numFmtId="0" fontId="37" fillId="21" borderId="73" xfId="0" applyFont="1" applyFill="1" applyBorder="1" applyAlignment="1">
      <alignment vertical="center" wrapText="1"/>
    </xf>
    <xf numFmtId="0" fontId="37" fillId="21" borderId="74" xfId="0" applyFont="1" applyFill="1" applyBorder="1" applyAlignment="1">
      <alignment vertical="center"/>
    </xf>
    <xf numFmtId="0" fontId="37" fillId="25" borderId="75" xfId="0" applyFont="1" applyFill="1" applyBorder="1" applyAlignment="1">
      <alignment vertical="center" wrapText="1"/>
    </xf>
    <xf numFmtId="0" fontId="32" fillId="25" borderId="71" xfId="7" applyFill="1" applyBorder="1" applyAlignment="1">
      <alignment horizontal="center" vertical="center" wrapText="1"/>
    </xf>
    <xf numFmtId="6" fontId="60" fillId="25" borderId="72" xfId="7" applyNumberFormat="1" applyFont="1" applyFill="1" applyBorder="1" applyAlignment="1">
      <alignment vertical="center"/>
    </xf>
    <xf numFmtId="0" fontId="61" fillId="3" borderId="85" xfId="11" applyFont="1" applyFill="1" applyBorder="1" applyAlignment="1">
      <alignment horizontal="center" vertical="center" wrapText="1"/>
    </xf>
    <xf numFmtId="6" fontId="34" fillId="3" borderId="88" xfId="11" applyNumberFormat="1" applyFont="1" applyFill="1" applyBorder="1" applyAlignment="1">
      <alignment horizontal="center" vertical="center"/>
    </xf>
    <xf numFmtId="0" fontId="34" fillId="7" borderId="84" xfId="9" applyBorder="1" applyAlignment="1">
      <alignment horizontal="center" vertical="center"/>
    </xf>
    <xf numFmtId="0" fontId="34" fillId="24" borderId="89" xfId="11" applyFont="1" applyFill="1" applyBorder="1" applyAlignment="1">
      <alignment horizontal="center" vertical="center"/>
    </xf>
    <xf numFmtId="0" fontId="34" fillId="24" borderId="90" xfId="11" applyFont="1" applyFill="1" applyBorder="1" applyAlignment="1">
      <alignment horizontal="center" vertical="center"/>
    </xf>
    <xf numFmtId="0" fontId="34" fillId="24" borderId="91" xfId="11" applyFont="1" applyFill="1" applyBorder="1" applyAlignment="1">
      <alignment horizontal="center" vertical="center"/>
    </xf>
    <xf numFmtId="8" fontId="34" fillId="3" borderId="78" xfId="17" applyNumberFormat="1" applyFont="1" applyFill="1" applyBorder="1"/>
    <xf numFmtId="8" fontId="34" fillId="3" borderId="79" xfId="17" applyNumberFormat="1" applyFont="1" applyFill="1" applyBorder="1"/>
    <xf numFmtId="8" fontId="34" fillId="3" borderId="80" xfId="17" applyNumberFormat="1" applyFont="1" applyFill="1" applyBorder="1"/>
    <xf numFmtId="17" fontId="0" fillId="14" borderId="43" xfId="0" applyNumberFormat="1" applyFill="1" applyBorder="1"/>
    <xf numFmtId="170" fontId="0" fillId="14" borderId="43" xfId="1" applyNumberFormat="1" applyFont="1" applyFill="1" applyBorder="1"/>
    <xf numFmtId="174" fontId="0" fillId="14" borderId="43" xfId="2" applyNumberFormat="1" applyFont="1" applyFill="1" applyBorder="1"/>
    <xf numFmtId="166" fontId="0" fillId="21" borderId="43" xfId="0" applyNumberFormat="1" applyFill="1" applyBorder="1"/>
    <xf numFmtId="165" fontId="0" fillId="21" borderId="43" xfId="0" applyNumberFormat="1" applyFill="1" applyBorder="1"/>
    <xf numFmtId="171" fontId="0" fillId="14" borderId="92" xfId="0" applyNumberFormat="1" applyFill="1" applyBorder="1"/>
    <xf numFmtId="0" fontId="63" fillId="21" borderId="74" xfId="0" applyFont="1" applyFill="1" applyBorder="1" applyAlignment="1">
      <alignment vertical="center"/>
    </xf>
    <xf numFmtId="0" fontId="64" fillId="21" borderId="73" xfId="0" applyFont="1" applyFill="1" applyBorder="1" applyAlignment="1">
      <alignment vertical="center" wrapText="1"/>
    </xf>
    <xf numFmtId="0" fontId="0" fillId="24" borderId="0" xfId="0" applyFill="1" applyAlignment="1">
      <alignment vertical="center"/>
    </xf>
    <xf numFmtId="0" fontId="11" fillId="24" borderId="0" xfId="0" applyFont="1" applyFill="1" applyAlignment="1">
      <alignment horizontal="center"/>
    </xf>
    <xf numFmtId="0" fontId="60" fillId="27" borderId="89" xfId="11" applyFont="1" applyFill="1" applyBorder="1" applyAlignment="1">
      <alignment horizontal="center" vertical="center"/>
    </xf>
    <xf numFmtId="0" fontId="60" fillId="27" borderId="90" xfId="11" applyFont="1" applyFill="1" applyBorder="1" applyAlignment="1">
      <alignment horizontal="center" vertical="center"/>
    </xf>
    <xf numFmtId="0" fontId="60" fillId="27" borderId="84" xfId="9" applyFont="1" applyFill="1" applyBorder="1" applyAlignment="1">
      <alignment horizontal="center" vertical="center"/>
    </xf>
    <xf numFmtId="0" fontId="62" fillId="24" borderId="85" xfId="11" applyFont="1" applyFill="1" applyBorder="1" applyAlignment="1">
      <alignment horizontal="center" vertical="center" wrapText="1"/>
    </xf>
    <xf numFmtId="9" fontId="57" fillId="0" borderId="81" xfId="11" applyNumberFormat="1" applyFont="1" applyFill="1" applyBorder="1" applyAlignment="1">
      <alignment horizontal="center" vertical="center" wrapText="1"/>
    </xf>
    <xf numFmtId="9" fontId="57" fillId="0" borderId="70" xfId="11" applyNumberFormat="1" applyFont="1" applyFill="1" applyBorder="1" applyAlignment="1">
      <alignment horizontal="center" vertical="center" wrapText="1"/>
    </xf>
    <xf numFmtId="6" fontId="57" fillId="0" borderId="81" xfId="11" applyNumberFormat="1" applyFont="1" applyFill="1" applyBorder="1" applyAlignment="1">
      <alignment horizontal="right" vertical="center" wrapText="1"/>
    </xf>
    <xf numFmtId="6" fontId="57" fillId="0" borderId="68" xfId="11" applyNumberFormat="1" applyFont="1" applyFill="1" applyBorder="1" applyAlignment="1">
      <alignment horizontal="right" vertical="center"/>
    </xf>
    <xf numFmtId="6" fontId="60" fillId="25" borderId="72" xfId="7" applyNumberFormat="1" applyFont="1" applyFill="1" applyBorder="1" applyAlignment="1">
      <alignment horizontal="right" vertical="center"/>
    </xf>
    <xf numFmtId="6" fontId="34" fillId="24" borderId="78" xfId="17" applyNumberFormat="1" applyFont="1" applyFill="1" applyBorder="1"/>
    <xf numFmtId="6" fontId="34" fillId="24" borderId="88" xfId="11" applyNumberFormat="1" applyFont="1" applyFill="1" applyBorder="1" applyAlignment="1">
      <alignment horizontal="right" vertical="center"/>
    </xf>
    <xf numFmtId="6" fontId="18" fillId="0" borderId="69" xfId="12" applyNumberFormat="1" applyBorder="1" applyAlignment="1">
      <alignment horizontal="right"/>
    </xf>
    <xf numFmtId="0" fontId="34" fillId="24" borderId="1" xfId="0" applyFont="1" applyFill="1" applyBorder="1" applyAlignment="1">
      <alignment horizontal="center" vertical="center" wrapText="1"/>
    </xf>
    <xf numFmtId="0" fontId="34" fillId="24" borderId="2" xfId="0" applyFont="1" applyFill="1" applyBorder="1" applyAlignment="1">
      <alignment horizontal="center" vertical="center" wrapText="1"/>
    </xf>
    <xf numFmtId="0" fontId="67" fillId="24" borderId="2" xfId="0" applyFont="1" applyFill="1" applyBorder="1" applyAlignment="1">
      <alignment horizontal="center" vertical="center" wrapText="1"/>
    </xf>
    <xf numFmtId="175" fontId="25" fillId="0" borderId="1" xfId="0" applyNumberFormat="1" applyFont="1" applyBorder="1" applyAlignment="1">
      <alignment horizontal="center" vertical="center" wrapText="1"/>
    </xf>
    <xf numFmtId="175" fontId="25" fillId="0" borderId="11" xfId="0" applyNumberFormat="1" applyFont="1" applyBorder="1" applyAlignment="1">
      <alignment horizontal="center" vertical="center" wrapText="1"/>
    </xf>
    <xf numFmtId="175" fontId="23" fillId="0" borderId="11" xfId="0" applyNumberFormat="1" applyFont="1" applyBorder="1" applyAlignment="1">
      <alignment horizontal="center" vertical="center" wrapText="1"/>
    </xf>
    <xf numFmtId="0" fontId="0" fillId="14" borderId="0" xfId="0" applyFill="1" applyAlignment="1">
      <alignment wrapText="1"/>
    </xf>
    <xf numFmtId="0" fontId="68" fillId="20" borderId="52" xfId="0" applyFont="1" applyFill="1" applyBorder="1" applyAlignment="1">
      <alignment vertical="center" wrapText="1"/>
    </xf>
    <xf numFmtId="0" fontId="68" fillId="20" borderId="53" xfId="0" applyFont="1" applyFill="1" applyBorder="1" applyAlignment="1">
      <alignment vertical="center" wrapText="1"/>
    </xf>
    <xf numFmtId="44" fontId="0" fillId="14" borderId="43" xfId="2" applyFont="1" applyFill="1" applyBorder="1"/>
    <xf numFmtId="43" fontId="0" fillId="0" borderId="0" xfId="0" applyNumberFormat="1"/>
    <xf numFmtId="0" fontId="70" fillId="14" borderId="0" xfId="0" applyFont="1" applyFill="1"/>
    <xf numFmtId="43" fontId="70" fillId="14" borderId="0" xfId="1" applyFont="1" applyFill="1" applyBorder="1"/>
    <xf numFmtId="174" fontId="70" fillId="14" borderId="0" xfId="2" applyNumberFormat="1" applyFont="1" applyFill="1" applyBorder="1"/>
    <xf numFmtId="165" fontId="70" fillId="14" borderId="0" xfId="0" applyNumberFormat="1" applyFont="1" applyFill="1"/>
    <xf numFmtId="171" fontId="30" fillId="4" borderId="43" xfId="5" applyNumberFormat="1" applyBorder="1"/>
    <xf numFmtId="0" fontId="30" fillId="4" borderId="17" xfId="5" applyBorder="1"/>
    <xf numFmtId="175" fontId="30" fillId="4" borderId="17" xfId="5" applyNumberFormat="1" applyBorder="1"/>
    <xf numFmtId="170" fontId="70" fillId="14" borderId="0" xfId="1" applyNumberFormat="1" applyFont="1" applyFill="1" applyBorder="1"/>
    <xf numFmtId="166" fontId="70" fillId="14" borderId="0" xfId="2" applyNumberFormat="1" applyFont="1" applyFill="1" applyBorder="1"/>
    <xf numFmtId="170" fontId="0" fillId="14" borderId="42" xfId="1" applyNumberFormat="1" applyFont="1" applyFill="1" applyBorder="1"/>
    <xf numFmtId="175" fontId="0" fillId="14" borderId="46" xfId="2" applyNumberFormat="1" applyFont="1" applyFill="1" applyBorder="1"/>
    <xf numFmtId="175" fontId="0" fillId="14" borderId="44" xfId="2" applyNumberFormat="1" applyFont="1" applyFill="1" applyBorder="1"/>
    <xf numFmtId="170" fontId="0" fillId="28" borderId="42" xfId="1" applyNumberFormat="1" applyFont="1" applyFill="1" applyBorder="1"/>
    <xf numFmtId="17" fontId="0" fillId="28" borderId="43" xfId="0" applyNumberFormat="1" applyFill="1" applyBorder="1"/>
    <xf numFmtId="170" fontId="0" fillId="28" borderId="43" xfId="1" applyNumberFormat="1" applyFont="1" applyFill="1" applyBorder="1"/>
    <xf numFmtId="174" fontId="0" fillId="28" borderId="43" xfId="2" applyNumberFormat="1" applyFont="1" applyFill="1" applyBorder="1"/>
    <xf numFmtId="166" fontId="0" fillId="28" borderId="43" xfId="0" applyNumberFormat="1" applyFill="1" applyBorder="1"/>
    <xf numFmtId="171" fontId="0" fillId="28" borderId="92" xfId="0" applyNumberFormat="1" applyFill="1" applyBorder="1"/>
    <xf numFmtId="44" fontId="0" fillId="28" borderId="43" xfId="2" applyFont="1" applyFill="1" applyBorder="1"/>
    <xf numFmtId="165" fontId="0" fillId="28" borderId="43" xfId="0" applyNumberFormat="1" applyFill="1" applyBorder="1"/>
    <xf numFmtId="175" fontId="0" fillId="28" borderId="43" xfId="2" applyNumberFormat="1" applyFont="1" applyFill="1" applyBorder="1"/>
    <xf numFmtId="175" fontId="0" fillId="28" borderId="46" xfId="2" applyNumberFormat="1" applyFont="1" applyFill="1" applyBorder="1"/>
    <xf numFmtId="175" fontId="0" fillId="28" borderId="44" xfId="2" applyNumberFormat="1" applyFont="1" applyFill="1" applyBorder="1"/>
    <xf numFmtId="169" fontId="36" fillId="0" borderId="0" xfId="0" applyNumberFormat="1" applyFont="1"/>
    <xf numFmtId="0" fontId="70" fillId="0" borderId="0" xfId="0" applyFont="1"/>
    <xf numFmtId="0" fontId="0" fillId="0" borderId="0" xfId="0"/>
    <xf numFmtId="6" fontId="71" fillId="6" borderId="61" xfId="7" applyNumberFormat="1" applyFont="1" applyBorder="1"/>
    <xf numFmtId="6" fontId="71" fillId="6" borderId="62" xfId="7" applyNumberFormat="1" applyFont="1" applyBorder="1"/>
    <xf numFmtId="6" fontId="14" fillId="0" borderId="61" xfId="0" applyNumberFormat="1" applyFont="1" applyBorder="1"/>
    <xf numFmtId="6" fontId="14" fillId="0" borderId="62" xfId="0" applyNumberFormat="1" applyFont="1" applyBorder="1"/>
    <xf numFmtId="6" fontId="14" fillId="0" borderId="65" xfId="0" applyNumberFormat="1" applyFont="1" applyBorder="1"/>
    <xf numFmtId="6" fontId="14" fillId="0" borderId="66" xfId="0" applyNumberFormat="1" applyFont="1" applyBorder="1"/>
    <xf numFmtId="0" fontId="72" fillId="14" borderId="0" xfId="0" applyFont="1" applyFill="1"/>
    <xf numFmtId="170" fontId="72" fillId="14" borderId="0" xfId="1" applyNumberFormat="1" applyFont="1" applyFill="1" applyBorder="1"/>
    <xf numFmtId="174" fontId="72" fillId="14" borderId="0" xfId="2" applyNumberFormat="1" applyFont="1" applyFill="1" applyBorder="1"/>
    <xf numFmtId="0" fontId="72" fillId="0" borderId="0" xfId="0" applyFont="1"/>
    <xf numFmtId="44" fontId="72" fillId="14" borderId="0" xfId="2" applyFont="1" applyFill="1"/>
    <xf numFmtId="165" fontId="72" fillId="14" borderId="0" xfId="0" applyNumberFormat="1" applyFont="1" applyFill="1"/>
    <xf numFmtId="170" fontId="73" fillId="17" borderId="0" xfId="1" applyNumberFormat="1" applyFont="1" applyFill="1"/>
    <xf numFmtId="4" fontId="68" fillId="20" borderId="93" xfId="0" applyNumberFormat="1" applyFont="1" applyFill="1" applyBorder="1" applyAlignment="1">
      <alignment vertical="center" wrapText="1"/>
    </xf>
    <xf numFmtId="17" fontId="69" fillId="8" borderId="94" xfId="11" applyNumberFormat="1" applyFont="1" applyBorder="1"/>
    <xf numFmtId="0" fontId="29" fillId="8" borderId="47" xfId="11" applyFont="1" applyBorder="1" applyAlignment="1">
      <alignment horizontal="center" vertical="center"/>
    </xf>
    <xf numFmtId="0" fontId="29" fillId="8" borderId="29" xfId="11" applyFont="1" applyBorder="1" applyAlignment="1">
      <alignment horizontal="center" vertical="center"/>
    </xf>
    <xf numFmtId="0" fontId="29" fillId="8" borderId="48" xfId="11" applyFont="1" applyBorder="1" applyAlignment="1">
      <alignment horizontal="center" vertical="center"/>
    </xf>
    <xf numFmtId="0" fontId="29" fillId="8" borderId="49" xfId="11" applyFont="1" applyBorder="1" applyAlignment="1">
      <alignment horizontal="center" vertical="center"/>
    </xf>
    <xf numFmtId="3" fontId="0" fillId="0" borderId="48" xfId="0" applyNumberFormat="1" applyBorder="1" applyAlignment="1">
      <alignment vertical="center" wrapText="1"/>
    </xf>
    <xf numFmtId="3" fontId="0" fillId="0" borderId="49" xfId="0" applyNumberFormat="1" applyBorder="1" applyAlignment="1">
      <alignment vertical="center" wrapText="1"/>
    </xf>
    <xf numFmtId="3" fontId="69" fillId="8" borderId="48" xfId="11" applyNumberFormat="1" applyFont="1" applyBorder="1" applyAlignment="1">
      <alignment vertical="center" wrapText="1"/>
    </xf>
    <xf numFmtId="3" fontId="69" fillId="8" borderId="49" xfId="11" applyNumberFormat="1" applyFont="1" applyBorder="1" applyAlignment="1">
      <alignment vertical="center" wrapText="1"/>
    </xf>
    <xf numFmtId="3" fontId="69" fillId="8" borderId="50" xfId="11" applyNumberFormat="1" applyFont="1" applyBorder="1" applyAlignment="1">
      <alignment vertical="center" wrapText="1"/>
    </xf>
    <xf numFmtId="3" fontId="69" fillId="8" borderId="51" xfId="11" applyNumberFormat="1" applyFont="1" applyBorder="1" applyAlignment="1">
      <alignment vertical="center" wrapText="1"/>
    </xf>
    <xf numFmtId="170" fontId="0" fillId="22" borderId="95" xfId="1" applyNumberFormat="1" applyFont="1" applyFill="1" applyBorder="1"/>
    <xf numFmtId="0" fontId="0" fillId="0" borderId="0" xfId="0"/>
    <xf numFmtId="0" fontId="0" fillId="14" borderId="0" xfId="0" applyFill="1"/>
    <xf numFmtId="179" fontId="0" fillId="14" borderId="0" xfId="0" applyNumberFormat="1" applyFill="1"/>
    <xf numFmtId="170" fontId="14" fillId="14" borderId="0" xfId="1" applyNumberFormat="1" applyFont="1" applyFill="1"/>
    <xf numFmtId="0" fontId="1" fillId="29" borderId="0" xfId="18"/>
    <xf numFmtId="170" fontId="1" fillId="29" borderId="0" xfId="18" applyNumberFormat="1"/>
    <xf numFmtId="0" fontId="0" fillId="14" borderId="0" xfId="0" applyFont="1" applyFill="1"/>
    <xf numFmtId="4" fontId="0" fillId="14" borderId="0" xfId="0" applyNumberFormat="1" applyFont="1" applyFill="1"/>
    <xf numFmtId="0" fontId="1" fillId="10" borderId="0" xfId="14" applyFont="1"/>
    <xf numFmtId="4" fontId="1" fillId="10" borderId="0" xfId="14" applyNumberFormat="1" applyFont="1"/>
    <xf numFmtId="170" fontId="1" fillId="10" borderId="0" xfId="14" applyNumberFormat="1" applyFont="1"/>
    <xf numFmtId="0" fontId="0" fillId="0" borderId="0" xfId="0" applyAlignment="1">
      <alignment horizontal="center"/>
    </xf>
    <xf numFmtId="0" fontId="12" fillId="0" borderId="0" xfId="0" applyFont="1" applyAlignment="1">
      <alignment horizontal="center"/>
    </xf>
    <xf numFmtId="0" fontId="4" fillId="0" borderId="0" xfId="0" applyFont="1" applyAlignment="1">
      <alignment horizontal="left" vertical="center"/>
    </xf>
    <xf numFmtId="0" fontId="8" fillId="0" borderId="0" xfId="0" applyFont="1" applyAlignment="1">
      <alignment horizontal="center" vertical="center"/>
    </xf>
    <xf numFmtId="1" fontId="10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 vertical="center" wrapText="1"/>
    </xf>
    <xf numFmtId="164" fontId="10" fillId="2" borderId="0" xfId="1" applyNumberFormat="1" applyFont="1" applyFill="1" applyAlignment="1">
      <alignment horizontal="center" vertical="center"/>
    </xf>
    <xf numFmtId="7" fontId="10" fillId="2" borderId="0" xfId="2" applyNumberFormat="1" applyFont="1" applyFill="1" applyAlignment="1">
      <alignment horizontal="center" vertical="center"/>
    </xf>
    <xf numFmtId="5" fontId="10" fillId="2" borderId="0" xfId="2" applyNumberFormat="1" applyFont="1" applyFill="1" applyAlignment="1">
      <alignment horizontal="center" vertical="center"/>
    </xf>
    <xf numFmtId="0" fontId="4" fillId="0" borderId="0" xfId="0" applyFont="1" applyAlignment="1">
      <alignment horizontal="center" vertical="center"/>
    </xf>
    <xf numFmtId="0" fontId="11" fillId="24" borderId="0" xfId="0" applyFont="1" applyFill="1" applyAlignment="1">
      <alignment horizontal="center" vertical="center" wrapText="1"/>
    </xf>
    <xf numFmtId="0" fontId="59" fillId="24" borderId="0" xfId="0" applyFont="1" applyFill="1" applyAlignment="1">
      <alignment horizontal="center" vertical="center" wrapText="1"/>
    </xf>
    <xf numFmtId="0" fontId="9" fillId="0" borderId="0" xfId="0" applyFont="1" applyAlignment="1">
      <alignment horizontal="center"/>
    </xf>
    <xf numFmtId="0" fontId="16" fillId="0" borderId="0" xfId="0" applyFont="1" applyAlignment="1">
      <alignment horizontal="center" vertical="center" wrapText="1"/>
    </xf>
    <xf numFmtId="9" fontId="10" fillId="0" borderId="0" xfId="0" applyNumberFormat="1" applyFont="1" applyAlignment="1">
      <alignment horizontal="center" vertical="center"/>
    </xf>
    <xf numFmtId="5" fontId="10" fillId="2" borderId="0" xfId="2" applyNumberFormat="1" applyFont="1" applyFill="1" applyAlignment="1">
      <alignment horizontal="center"/>
    </xf>
    <xf numFmtId="0" fontId="9" fillId="2" borderId="0" xfId="0" applyFont="1" applyFill="1" applyAlignment="1">
      <alignment horizontal="center"/>
    </xf>
    <xf numFmtId="0" fontId="0" fillId="2" borderId="0" xfId="0" applyFill="1" applyAlignment="1">
      <alignment horizontal="center"/>
    </xf>
    <xf numFmtId="0" fontId="10" fillId="0" borderId="0" xfId="0" applyFont="1" applyAlignment="1">
      <alignment horizontal="center" vertical="center"/>
    </xf>
    <xf numFmtId="0" fontId="14" fillId="2" borderId="0" xfId="0" applyFont="1" applyFill="1" applyAlignment="1">
      <alignment horizontal="center" vertical="top"/>
    </xf>
    <xf numFmtId="7" fontId="17" fillId="2" borderId="0" xfId="2" applyNumberFormat="1" applyFont="1" applyFill="1" applyAlignment="1">
      <alignment horizontal="center" vertical="top"/>
    </xf>
    <xf numFmtId="180" fontId="17" fillId="0" borderId="0" xfId="0" applyNumberFormat="1" applyFont="1" applyAlignment="1">
      <alignment horizontal="center" vertical="top" wrapText="1"/>
    </xf>
    <xf numFmtId="0" fontId="4" fillId="0" borderId="0" xfId="0" applyFont="1" applyAlignment="1">
      <alignment horizontal="center" wrapText="1"/>
    </xf>
    <xf numFmtId="0" fontId="21" fillId="0" borderId="0" xfId="0" applyFont="1" applyAlignment="1">
      <alignment horizontal="center" vertical="top" wrapText="1"/>
    </xf>
    <xf numFmtId="10" fontId="17" fillId="0" borderId="0" xfId="0" applyNumberFormat="1" applyFont="1" applyAlignment="1">
      <alignment horizontal="center" vertical="top" wrapText="1"/>
    </xf>
    <xf numFmtId="0" fontId="17" fillId="0" borderId="0" xfId="0" applyFont="1" applyAlignment="1">
      <alignment horizontal="center" vertical="top" wrapText="1"/>
    </xf>
    <xf numFmtId="6" fontId="22" fillId="0" borderId="9" xfId="2" applyNumberFormat="1" applyFont="1" applyBorder="1" applyAlignment="1">
      <alignment horizontal="center" vertical="center" wrapText="1"/>
    </xf>
    <xf numFmtId="6" fontId="22" fillId="0" borderId="10" xfId="2" applyNumberFormat="1" applyFont="1" applyBorder="1" applyAlignment="1">
      <alignment horizontal="center" vertical="center" wrapText="1"/>
    </xf>
    <xf numFmtId="6" fontId="22" fillId="0" borderId="11" xfId="2" applyNumberFormat="1" applyFont="1" applyBorder="1" applyAlignment="1">
      <alignment horizontal="center" vertical="center" wrapText="1"/>
    </xf>
    <xf numFmtId="0" fontId="9" fillId="0" borderId="0" xfId="0" applyFont="1" applyAlignment="1">
      <alignment horizontal="center" vertical="center"/>
    </xf>
    <xf numFmtId="0" fontId="14" fillId="0" borderId="9" xfId="0" applyFont="1" applyBorder="1" applyAlignment="1">
      <alignment horizontal="center" vertical="center" wrapText="1"/>
    </xf>
    <xf numFmtId="0" fontId="14" fillId="0" borderId="10" xfId="0" applyFont="1" applyBorder="1" applyAlignment="1">
      <alignment horizontal="center" vertical="center" wrapText="1"/>
    </xf>
    <xf numFmtId="0" fontId="14" fillId="0" borderId="11" xfId="0" applyFont="1" applyBorder="1" applyAlignment="1">
      <alignment horizontal="center" vertical="center" wrapText="1"/>
    </xf>
    <xf numFmtId="0" fontId="34" fillId="24" borderId="7" xfId="0" applyFont="1" applyFill="1" applyBorder="1" applyAlignment="1">
      <alignment horizontal="center" vertical="center" wrapText="1"/>
    </xf>
    <xf numFmtId="0" fontId="34" fillId="24" borderId="8" xfId="0" applyFont="1" applyFill="1" applyBorder="1" applyAlignment="1">
      <alignment horizontal="center" vertical="center" wrapText="1"/>
    </xf>
    <xf numFmtId="0" fontId="34" fillId="24" borderId="2" xfId="0" applyFont="1" applyFill="1" applyBorder="1" applyAlignment="1">
      <alignment horizontal="center" vertical="center" wrapText="1"/>
    </xf>
    <xf numFmtId="0" fontId="14" fillId="0" borderId="12" xfId="0" applyFont="1" applyBorder="1" applyAlignment="1">
      <alignment horizontal="left" vertical="center" wrapText="1"/>
    </xf>
    <xf numFmtId="0" fontId="14" fillId="0" borderId="5" xfId="0" applyFont="1" applyBorder="1" applyAlignment="1">
      <alignment horizontal="left" vertical="center" wrapText="1"/>
    </xf>
    <xf numFmtId="0" fontId="14" fillId="0" borderId="13" xfId="0" applyFont="1" applyBorder="1" applyAlignment="1">
      <alignment horizontal="left" vertical="center" wrapText="1"/>
    </xf>
    <xf numFmtId="0" fontId="14" fillId="0" borderId="6" xfId="0" applyFont="1" applyBorder="1" applyAlignment="1">
      <alignment horizontal="left" vertical="center" wrapText="1"/>
    </xf>
    <xf numFmtId="0" fontId="14" fillId="0" borderId="0" xfId="0" applyFont="1" applyAlignment="1">
      <alignment horizontal="left" vertical="center" wrapText="1"/>
    </xf>
    <xf numFmtId="0" fontId="14" fillId="0" borderId="4" xfId="0" applyFont="1" applyBorder="1" applyAlignment="1">
      <alignment horizontal="left" vertical="center" wrapText="1"/>
    </xf>
    <xf numFmtId="0" fontId="14" fillId="0" borderId="14" xfId="0" applyFont="1" applyBorder="1" applyAlignment="1">
      <alignment horizontal="left" vertical="center" wrapText="1"/>
    </xf>
    <xf numFmtId="0" fontId="14" fillId="0" borderId="15" xfId="0" applyFont="1" applyBorder="1" applyAlignment="1">
      <alignment horizontal="left" vertical="center" wrapText="1"/>
    </xf>
    <xf numFmtId="0" fontId="14" fillId="0" borderId="3" xfId="0" applyFont="1" applyBorder="1" applyAlignment="1">
      <alignment horizontal="left" vertical="center" wrapText="1"/>
    </xf>
    <xf numFmtId="0" fontId="24" fillId="0" borderId="0" xfId="0" applyFont="1" applyAlignment="1">
      <alignment horizontal="left" vertical="center" wrapText="1"/>
    </xf>
    <xf numFmtId="0" fontId="13" fillId="24" borderId="0" xfId="0" applyFont="1" applyFill="1" applyAlignment="1">
      <alignment horizontal="center" vertical="center"/>
    </xf>
    <xf numFmtId="5" fontId="17" fillId="2" borderId="0" xfId="2" applyNumberFormat="1" applyFont="1" applyFill="1" applyAlignment="1">
      <alignment horizontal="center" vertical="center"/>
    </xf>
    <xf numFmtId="0" fontId="0" fillId="2" borderId="0" xfId="0" applyFill="1" applyAlignment="1">
      <alignment horizontal="center" wrapText="1"/>
    </xf>
    <xf numFmtId="5" fontId="17" fillId="2" borderId="0" xfId="2" applyNumberFormat="1" applyFont="1" applyFill="1" applyAlignment="1">
      <alignment horizontal="center"/>
    </xf>
    <xf numFmtId="0" fontId="13" fillId="0" borderId="0" xfId="0" applyFont="1" applyAlignment="1">
      <alignment horizontal="center" vertical="center"/>
    </xf>
    <xf numFmtId="0" fontId="65" fillId="27" borderId="86" xfId="9" applyFont="1" applyFill="1" applyBorder="1" applyAlignment="1">
      <alignment horizontal="center" vertical="center"/>
    </xf>
    <xf numFmtId="0" fontId="65" fillId="27" borderId="87" xfId="9" applyFont="1" applyFill="1" applyBorder="1" applyAlignment="1">
      <alignment horizontal="center" vertical="center"/>
    </xf>
    <xf numFmtId="0" fontId="4" fillId="27" borderId="83" xfId="0" applyFont="1" applyFill="1" applyBorder="1" applyAlignment="1">
      <alignment horizontal="center" vertical="center"/>
    </xf>
    <xf numFmtId="0" fontId="34" fillId="24" borderId="76" xfId="17" applyFont="1" applyFill="1" applyBorder="1" applyAlignment="1">
      <alignment horizontal="center"/>
    </xf>
    <xf numFmtId="0" fontId="34" fillId="24" borderId="77" xfId="17" applyFont="1" applyFill="1" applyBorder="1" applyAlignment="1">
      <alignment horizontal="center"/>
    </xf>
    <xf numFmtId="0" fontId="0" fillId="0" borderId="0" xfId="0"/>
    <xf numFmtId="0" fontId="22" fillId="0" borderId="9" xfId="0" applyFont="1" applyBorder="1" applyAlignment="1">
      <alignment horizontal="center" vertical="center" wrapText="1"/>
    </xf>
    <xf numFmtId="0" fontId="22" fillId="0" borderId="10" xfId="0" applyFont="1" applyBorder="1" applyAlignment="1">
      <alignment horizontal="center" vertical="center" wrapText="1"/>
    </xf>
    <xf numFmtId="0" fontId="22" fillId="0" borderId="11" xfId="0" applyFont="1" applyBorder="1" applyAlignment="1">
      <alignment horizontal="center" vertical="center" wrapText="1"/>
    </xf>
    <xf numFmtId="6" fontId="22" fillId="0" borderId="9" xfId="0" applyNumberFormat="1" applyFont="1" applyBorder="1" applyAlignment="1">
      <alignment horizontal="center" vertical="center" wrapText="1"/>
    </xf>
    <xf numFmtId="6" fontId="22" fillId="0" borderId="10" xfId="0" applyNumberFormat="1" applyFont="1" applyBorder="1" applyAlignment="1">
      <alignment horizontal="center" vertical="center" wrapText="1"/>
    </xf>
    <xf numFmtId="6" fontId="22" fillId="0" borderId="11" xfId="0" applyNumberFormat="1" applyFont="1" applyBorder="1" applyAlignment="1">
      <alignment horizontal="center" vertical="center" wrapText="1"/>
    </xf>
    <xf numFmtId="0" fontId="37" fillId="14" borderId="0" xfId="0" applyFont="1" applyFill="1" applyAlignment="1">
      <alignment horizontal="center" vertical="center" wrapText="1"/>
    </xf>
    <xf numFmtId="0" fontId="44" fillId="5" borderId="22" xfId="6" applyFont="1" applyBorder="1" applyAlignment="1">
      <alignment horizontal="left" vertical="center"/>
    </xf>
    <xf numFmtId="0" fontId="44" fillId="5" borderId="23" xfId="6" applyFont="1" applyBorder="1" applyAlignment="1">
      <alignment horizontal="left" vertical="center"/>
    </xf>
    <xf numFmtId="0" fontId="51" fillId="17" borderId="0" xfId="0" applyFont="1" applyFill="1" applyAlignment="1">
      <alignment horizontal="center" wrapText="1"/>
    </xf>
    <xf numFmtId="0" fontId="0" fillId="0" borderId="0" xfId="0" applyAlignment="1">
      <alignment horizontal="left"/>
    </xf>
    <xf numFmtId="0" fontId="36" fillId="12" borderId="30" xfId="16" applyBorder="1" applyAlignment="1">
      <alignment horizontal="center" vertical="center" wrapText="1"/>
    </xf>
    <xf numFmtId="0" fontId="36" fillId="12" borderId="37" xfId="16" applyBorder="1" applyAlignment="1">
      <alignment horizontal="center" vertical="center" wrapText="1"/>
    </xf>
    <xf numFmtId="0" fontId="0" fillId="19" borderId="41" xfId="0" applyFont="1" applyFill="1" applyBorder="1" applyAlignment="1">
      <alignment horizontal="center" vertical="center" textRotation="255"/>
    </xf>
    <xf numFmtId="0" fontId="0" fillId="19" borderId="45" xfId="0" applyFont="1" applyFill="1" applyBorder="1" applyAlignment="1">
      <alignment horizontal="center" vertical="center" textRotation="255"/>
    </xf>
    <xf numFmtId="0" fontId="36" fillId="12" borderId="29" xfId="16" applyBorder="1" applyAlignment="1">
      <alignment horizontal="center" vertical="center" wrapText="1"/>
    </xf>
    <xf numFmtId="0" fontId="36" fillId="12" borderId="36" xfId="16" applyBorder="1" applyAlignment="1">
      <alignment horizontal="center" vertical="center" wrapText="1"/>
    </xf>
    <xf numFmtId="0" fontId="36" fillId="12" borderId="24" xfId="16" applyBorder="1" applyAlignment="1">
      <alignment horizontal="center" vertical="center"/>
    </xf>
    <xf numFmtId="0" fontId="36" fillId="12" borderId="31" xfId="16" applyBorder="1" applyAlignment="1">
      <alignment horizontal="center" vertical="center"/>
    </xf>
    <xf numFmtId="0" fontId="36" fillId="12" borderId="25" xfId="16" applyBorder="1" applyAlignment="1">
      <alignment horizontal="center" vertical="center"/>
    </xf>
    <xf numFmtId="0" fontId="36" fillId="12" borderId="32" xfId="16" applyBorder="1" applyAlignment="1">
      <alignment horizontal="center" vertical="center"/>
    </xf>
    <xf numFmtId="0" fontId="36" fillId="12" borderId="26" xfId="16" applyBorder="1" applyAlignment="1">
      <alignment horizontal="center" vertical="center" wrapText="1"/>
    </xf>
    <xf numFmtId="0" fontId="36" fillId="12" borderId="33" xfId="16" applyBorder="1" applyAlignment="1">
      <alignment horizontal="center" vertical="center" wrapText="1"/>
    </xf>
    <xf numFmtId="0" fontId="36" fillId="12" borderId="27" xfId="16" applyBorder="1" applyAlignment="1">
      <alignment horizontal="center" vertical="center" wrapText="1"/>
    </xf>
    <xf numFmtId="0" fontId="36" fillId="12" borderId="34" xfId="16" applyBorder="1" applyAlignment="1">
      <alignment horizontal="center" vertical="center" wrapText="1"/>
    </xf>
    <xf numFmtId="0" fontId="36" fillId="12" borderId="28" xfId="16" applyBorder="1" applyAlignment="1">
      <alignment horizontal="center" vertical="center" wrapText="1"/>
    </xf>
    <xf numFmtId="0" fontId="36" fillId="12" borderId="35" xfId="16" applyBorder="1" applyAlignment="1">
      <alignment horizontal="center" vertical="center" wrapText="1"/>
    </xf>
    <xf numFmtId="0" fontId="29" fillId="8" borderId="0" xfId="11" applyFont="1" applyBorder="1" applyAlignment="1">
      <alignment horizontal="center" vertical="center"/>
    </xf>
    <xf numFmtId="43" fontId="0" fillId="14" borderId="0" xfId="0" applyNumberFormat="1" applyFill="1"/>
    <xf numFmtId="0" fontId="0" fillId="14" borderId="0" xfId="0" applyFill="1"/>
    <xf numFmtId="0" fontId="56" fillId="8" borderId="55" xfId="11" applyFont="1" applyBorder="1" applyAlignment="1">
      <alignment horizontal="center" vertical="center"/>
    </xf>
    <xf numFmtId="0" fontId="56" fillId="8" borderId="59" xfId="11" applyFont="1" applyBorder="1" applyAlignment="1">
      <alignment horizontal="center" vertical="center"/>
    </xf>
    <xf numFmtId="0" fontId="32" fillId="6" borderId="18" xfId="7" applyAlignment="1">
      <alignment horizontal="center" vertical="center" wrapText="1"/>
    </xf>
    <xf numFmtId="0" fontId="34" fillId="3" borderId="76" xfId="17" applyFont="1" applyFill="1" applyBorder="1" applyAlignment="1">
      <alignment horizontal="center"/>
    </xf>
    <xf numFmtId="0" fontId="34" fillId="3" borderId="77" xfId="17" applyFont="1" applyFill="1" applyBorder="1" applyAlignment="1">
      <alignment horizontal="center"/>
    </xf>
    <xf numFmtId="0" fontId="4" fillId="26" borderId="83" xfId="0" applyFont="1" applyFill="1" applyBorder="1" applyAlignment="1">
      <alignment horizontal="center" vertical="center"/>
    </xf>
    <xf numFmtId="0" fontId="61" fillId="7" borderId="86" xfId="9" applyFont="1" applyBorder="1" applyAlignment="1">
      <alignment horizontal="center" vertical="center"/>
    </xf>
    <xf numFmtId="0" fontId="61" fillId="7" borderId="87" xfId="9" applyFont="1" applyBorder="1" applyAlignment="1">
      <alignment horizontal="center" vertical="center"/>
    </xf>
    <xf numFmtId="0" fontId="0" fillId="14" borderId="0" xfId="0" applyFill="1" applyAlignment="1">
      <alignment horizontal="right"/>
    </xf>
  </cellXfs>
  <cellStyles count="19">
    <cellStyle name="20% - Énfasis1" xfId="14" builtinId="30"/>
    <cellStyle name="20% - Énfasis3" xfId="15" builtinId="38"/>
    <cellStyle name="40% - Énfasis3" xfId="18" builtinId="39"/>
    <cellStyle name="60% - Énfasis6" xfId="17" builtinId="52"/>
    <cellStyle name="Bueno" xfId="5" builtinId="26"/>
    <cellStyle name="Cálculo" xfId="8" builtinId="22"/>
    <cellStyle name="Celda de comprobación" xfId="9" builtinId="23"/>
    <cellStyle name="Énfasis1" xfId="13" builtinId="29"/>
    <cellStyle name="Énfasis5" xfId="16" builtinId="45"/>
    <cellStyle name="Entrada" xfId="6" builtinId="20"/>
    <cellStyle name="Millares" xfId="1" builtinId="3"/>
    <cellStyle name="Moneda" xfId="2" builtinId="4"/>
    <cellStyle name="Normal" xfId="0" builtinId="0"/>
    <cellStyle name="Notas" xfId="11" builtinId="10"/>
    <cellStyle name="Porcentaje" xfId="3" builtinId="5"/>
    <cellStyle name="Salida" xfId="7" builtinId="21"/>
    <cellStyle name="Texto de advertencia" xfId="10" builtinId="11"/>
    <cellStyle name="Título 3" xfId="4" builtinId="18"/>
    <cellStyle name="Total" xfId="12" builtinId="25"/>
  </cellStyles>
  <dxfs count="0"/>
  <tableStyles count="0" defaultTableStyle="TableStyleMedium2" defaultPivotStyle="PivotStyleLight16"/>
  <colors>
    <mruColors>
      <color rgb="FFF2AD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calcChain" Target="calcChain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1"/>
          <c:order val="0"/>
          <c:tx>
            <c:strRef>
              <c:f>'Solar vs Load'!$J$4:$J$5</c:f>
              <c:strCache>
                <c:ptCount val="2"/>
                <c:pt idx="0">
                  <c:v>Consumo</c:v>
                </c:pt>
                <c:pt idx="1">
                  <c:v>kWh</c:v>
                </c:pt>
              </c:strCache>
            </c:strRef>
          </c:tx>
          <c:spPr>
            <a:solidFill>
              <a:srgbClr val="F2AD00"/>
            </a:solidFill>
            <a:ln>
              <a:noFill/>
            </a:ln>
            <a:effectLst/>
          </c:spPr>
          <c:invertIfNegative val="0"/>
          <c:cat>
            <c:numRef>
              <c:f>'Solar vs Load'!$K$6:$K$17</c:f>
              <c:numCache>
                <c:formatCode>mmm\-yy</c:formatCode>
                <c:ptCount val="12"/>
                <c:pt idx="0">
                  <c:v>45658</c:v>
                </c:pt>
                <c:pt idx="1">
                  <c:v>45689</c:v>
                </c:pt>
                <c:pt idx="2">
                  <c:v>45717</c:v>
                </c:pt>
                <c:pt idx="3">
                  <c:v>45748</c:v>
                </c:pt>
                <c:pt idx="4">
                  <c:v>45778</c:v>
                </c:pt>
                <c:pt idx="5">
                  <c:v>45444</c:v>
                </c:pt>
                <c:pt idx="6">
                  <c:v>45474</c:v>
                </c:pt>
                <c:pt idx="7">
                  <c:v>45505</c:v>
                </c:pt>
                <c:pt idx="8">
                  <c:v>45536</c:v>
                </c:pt>
                <c:pt idx="9">
                  <c:v>45566</c:v>
                </c:pt>
                <c:pt idx="10">
                  <c:v>45597</c:v>
                </c:pt>
                <c:pt idx="11">
                  <c:v>45627</c:v>
                </c:pt>
              </c:numCache>
            </c:numRef>
          </c:cat>
          <c:val>
            <c:numRef>
              <c:f>'Solar vs Load'!$J$6:$J$17</c:f>
              <c:numCache>
                <c:formatCode>#,##0</c:formatCode>
                <c:ptCount val="12"/>
                <c:pt idx="0">
                  <c:v>2654781</c:v>
                </c:pt>
                <c:pt idx="1">
                  <c:v>3040045</c:v>
                </c:pt>
                <c:pt idx="2">
                  <c:v>2832930</c:v>
                </c:pt>
                <c:pt idx="3">
                  <c:v>2931989</c:v>
                </c:pt>
                <c:pt idx="4">
                  <c:v>3230098</c:v>
                </c:pt>
                <c:pt idx="5">
                  <c:v>2483106</c:v>
                </c:pt>
                <c:pt idx="6">
                  <c:v>2387963</c:v>
                </c:pt>
                <c:pt idx="7">
                  <c:v>3623015</c:v>
                </c:pt>
                <c:pt idx="8">
                  <c:v>1862728</c:v>
                </c:pt>
                <c:pt idx="9">
                  <c:v>2185472</c:v>
                </c:pt>
                <c:pt idx="10">
                  <c:v>2674153</c:v>
                </c:pt>
                <c:pt idx="11">
                  <c:v>2565084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633B-4898-B66E-640B76BD68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20"/>
        <c:axId val="310459976"/>
        <c:axId val="255913344"/>
      </c:barChart>
      <c:lineChart>
        <c:grouping val="standard"/>
        <c:varyColors val="0"/>
        <c:ser>
          <c:idx val="0"/>
          <c:order val="1"/>
          <c:tx>
            <c:strRef>
              <c:f>'Solar vs Load'!$I$4:$I$5</c:f>
              <c:strCache>
                <c:ptCount val="2"/>
                <c:pt idx="0">
                  <c:v>Solar</c:v>
                </c:pt>
                <c:pt idx="1">
                  <c:v>Grid (kWh)</c:v>
                </c:pt>
              </c:strCache>
            </c:strRef>
          </c:tx>
          <c:spPr>
            <a:ln w="28575" cap="rnd">
              <a:solidFill>
                <a:srgbClr val="FF0000"/>
              </a:solidFill>
              <a:round/>
            </a:ln>
            <a:effectLst/>
          </c:spPr>
          <c:marker>
            <c:symbol val="none"/>
          </c:marker>
          <c:val>
            <c:numRef>
              <c:f>'Solar vs Load'!$I$6:$I$17</c:f>
              <c:numCache>
                <c:formatCode>#,##0</c:formatCode>
                <c:ptCount val="12"/>
                <c:pt idx="0">
                  <c:v>111339.3</c:v>
                </c:pt>
                <c:pt idx="1">
                  <c:v>117534.9</c:v>
                </c:pt>
                <c:pt idx="2">
                  <c:v>138881.60000000001</c:v>
                </c:pt>
                <c:pt idx="3">
                  <c:v>144419.4</c:v>
                </c:pt>
                <c:pt idx="4">
                  <c:v>135918.20000000001</c:v>
                </c:pt>
                <c:pt idx="5">
                  <c:v>145828.70000000001</c:v>
                </c:pt>
                <c:pt idx="6">
                  <c:v>146832.9</c:v>
                </c:pt>
                <c:pt idx="7">
                  <c:v>156810.20000000001</c:v>
                </c:pt>
                <c:pt idx="8">
                  <c:v>131912.79999999999</c:v>
                </c:pt>
                <c:pt idx="9">
                  <c:v>128600.5</c:v>
                </c:pt>
                <c:pt idx="10">
                  <c:v>105277.4</c:v>
                </c:pt>
                <c:pt idx="11">
                  <c:v>100891.4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633B-4898-B66E-640B76BD689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10459976"/>
        <c:axId val="255913344"/>
      </c:lineChart>
      <c:catAx>
        <c:axId val="310459976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255913344"/>
        <c:crosses val="autoZero"/>
        <c:auto val="1"/>
        <c:lblAlgn val="ctr"/>
        <c:lblOffset val="100"/>
        <c:noMultiLvlLbl val="0"/>
      </c:catAx>
      <c:valAx>
        <c:axId val="25591334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310459976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 marL="0" marR="0" indent="0" algn="ctr" defTabSz="914400" rtl="0" eaLnBrk="1" fontAlgn="auto" latinLnBrk="0" hangingPunct="1">
              <a:lnSpc>
                <a:spcPct val="100000"/>
              </a:lnSpc>
              <a:spcBef>
                <a:spcPts val="0"/>
              </a:spcBef>
              <a:spcAft>
                <a:spcPts val="0"/>
              </a:spcAft>
              <a:buClrTx/>
              <a:buSzTx/>
              <a:buFontTx/>
              <a:buNone/>
              <a:tabLst/>
              <a:defRPr sz="1400" b="0" i="0" u="none" strike="noStrike" kern="1200" spc="0" baseline="0">
                <a:solidFill>
                  <a:sysClr val="windowText" lastClr="000000">
                    <a:lumMod val="65000"/>
                    <a:lumOff val="35000"/>
                  </a:sys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 </a:t>
            </a:r>
            <a:r>
              <a:rPr lang="es-MX" sz="1600" b="0" i="0" baseline="0">
                <a:effectLst/>
              </a:rPr>
              <a:t>Proyección de incremento de la tarifa CFE al 6% anual vs pago fijo</a:t>
            </a:r>
            <a:endParaRPr lang="es-MX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 marL="0" marR="0" indent="0" algn="ctr" defTabSz="914400" rtl="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 sz="1400" b="0" i="0" u="none" strike="noStrike" kern="1200" spc="0" baseline="0">
              <a:solidFill>
                <a:sysClr val="windowText" lastClr="000000">
                  <a:lumMod val="65000"/>
                  <a:lumOff val="35000"/>
                </a:sys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Presentacion!$AP$15</c:f>
              <c:strCache>
                <c:ptCount val="1"/>
                <c:pt idx="0">
                  <c:v>PAGO MENSUAL</c:v>
                </c:pt>
              </c:strCache>
            </c:strRef>
          </c:tx>
          <c:spPr>
            <a:ln w="28575" cap="rnd">
              <a:solidFill>
                <a:schemeClr val="tx1"/>
              </a:solidFill>
              <a:round/>
            </a:ln>
            <a:effectLst/>
          </c:spPr>
          <c:marker>
            <c:symbol val="none"/>
          </c:marker>
          <c:cat>
            <c:numRef>
              <c:f>Presentacion!$AQ$14:$AX$14</c:f>
              <c:numCache>
                <c:formatCode>General</c:formatCode>
                <c:ptCount val="8"/>
                <c:pt idx="0">
                  <c:v>2022</c:v>
                </c:pt>
                <c:pt idx="1">
                  <c:v>2023</c:v>
                </c:pt>
                <c:pt idx="2">
                  <c:v>2024</c:v>
                </c:pt>
                <c:pt idx="3">
                  <c:v>2025</c:v>
                </c:pt>
                <c:pt idx="4">
                  <c:v>2026</c:v>
                </c:pt>
                <c:pt idx="5">
                  <c:v>2027</c:v>
                </c:pt>
                <c:pt idx="6">
                  <c:v>2028</c:v>
                </c:pt>
                <c:pt idx="7">
                  <c:v>2029</c:v>
                </c:pt>
              </c:numCache>
            </c:numRef>
          </c:cat>
          <c:val>
            <c:numRef>
              <c:f>Presentacion!$AQ$15:$AX$15</c:f>
              <c:numCache>
                <c:formatCode>"$"#,##0_);[Red]\("$"#,##0\)</c:formatCode>
                <c:ptCount val="8"/>
                <c:pt idx="0">
                  <c:v>7092776.9678763337</c:v>
                </c:pt>
                <c:pt idx="1">
                  <c:v>7518343.5859489143</c:v>
                </c:pt>
                <c:pt idx="2">
                  <c:v>7969444.2011058489</c:v>
                </c:pt>
                <c:pt idx="3">
                  <c:v>8447610.8531721998</c:v>
                </c:pt>
                <c:pt idx="4">
                  <c:v>8954467.5043625329</c:v>
                </c:pt>
                <c:pt idx="5">
                  <c:v>9491735.5546242855</c:v>
                </c:pt>
                <c:pt idx="6">
                  <c:v>10061239.687901743</c:v>
                </c:pt>
                <c:pt idx="7">
                  <c:v>10664914.069175849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523-4A93-8A17-11DBBA7A17B6}"/>
            </c:ext>
          </c:extLst>
        </c:ser>
        <c:ser>
          <c:idx val="1"/>
          <c:order val="1"/>
          <c:tx>
            <c:strRef>
              <c:f>Presentacion!$AO$18</c:f>
              <c:strCache>
                <c:ptCount val="1"/>
                <c:pt idx="0">
                  <c:v>PAGO FINANCIAMIENTO FONDOS GUANAJUATO</c:v>
                </c:pt>
              </c:strCache>
            </c:strRef>
          </c:tx>
          <c:spPr>
            <a:ln w="28575" cap="rnd">
              <a:solidFill>
                <a:srgbClr val="F2AD00"/>
              </a:solidFill>
              <a:round/>
            </a:ln>
            <a:effectLst/>
          </c:spPr>
          <c:marker>
            <c:symbol val="none"/>
          </c:marker>
          <c:cat>
            <c:numRef>
              <c:f>Presentacion!$AQ$14:$AX$14</c:f>
              <c:numCache>
                <c:formatCode>General</c:formatCode>
                <c:ptCount val="8"/>
                <c:pt idx="0">
                  <c:v>2022</c:v>
                </c:pt>
                <c:pt idx="1">
                  <c:v>2023</c:v>
                </c:pt>
                <c:pt idx="2">
                  <c:v>2024</c:v>
                </c:pt>
                <c:pt idx="3">
                  <c:v>2025</c:v>
                </c:pt>
                <c:pt idx="4">
                  <c:v>2026</c:v>
                </c:pt>
                <c:pt idx="5">
                  <c:v>2027</c:v>
                </c:pt>
                <c:pt idx="6">
                  <c:v>2028</c:v>
                </c:pt>
                <c:pt idx="7">
                  <c:v>2029</c:v>
                </c:pt>
              </c:numCache>
            </c:numRef>
          </c:cat>
          <c:val>
            <c:numRef>
              <c:f>Presentacion!$AQ$18:$AX$18</c:f>
              <c:numCache>
                <c:formatCode>"$"#,##0_);[Red]\("$"#,##0\)</c:formatCode>
                <c:ptCount val="8"/>
                <c:pt idx="0">
                  <c:v>0</c:v>
                </c:pt>
                <c:pt idx="1">
                  <c:v>245942.92448566799</c:v>
                </c:pt>
                <c:pt idx="2">
                  <c:v>245942.92448566799</c:v>
                </c:pt>
                <c:pt idx="3">
                  <c:v>245942.92448566799</c:v>
                </c:pt>
                <c:pt idx="4">
                  <c:v>245942.92448566799</c:v>
                </c:pt>
                <c:pt idx="5">
                  <c:v>0</c:v>
                </c:pt>
                <c:pt idx="6">
                  <c:v>0</c:v>
                </c:pt>
                <c:pt idx="7">
                  <c:v>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523-4A93-8A17-11DBBA7A17B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30983663"/>
        <c:axId val="430969519"/>
      </c:lineChart>
      <c:catAx>
        <c:axId val="4309836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30969519"/>
        <c:crosses val="autoZero"/>
        <c:auto val="1"/>
        <c:lblAlgn val="ctr"/>
        <c:lblOffset val="100"/>
        <c:noMultiLvlLbl val="0"/>
      </c:catAx>
      <c:valAx>
        <c:axId val="43096951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_);[Red]\(&quot;$&quot;#,##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3098366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Consumo vs energía Solar</a:t>
            </a:r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barChart>
        <c:barDir val="col"/>
        <c:grouping val="clustered"/>
        <c:varyColors val="0"/>
        <c:ser>
          <c:idx val="1"/>
          <c:order val="1"/>
          <c:tx>
            <c:v>Consumo</c:v>
          </c:tx>
          <c:spPr>
            <a:solidFill>
              <a:schemeClr val="accent6">
                <a:lumMod val="60000"/>
                <a:lumOff val="40000"/>
              </a:schemeClr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Lit>
              <c:formatCode>General</c:formatCode>
              <c:ptCount val="12"/>
              <c:pt idx="0">
                <c:v>44409</c:v>
              </c:pt>
              <c:pt idx="1">
                <c:v>44440</c:v>
              </c:pt>
              <c:pt idx="2">
                <c:v>44470</c:v>
              </c:pt>
              <c:pt idx="3">
                <c:v>44501</c:v>
              </c:pt>
              <c:pt idx="4">
                <c:v>44531</c:v>
              </c:pt>
              <c:pt idx="5">
                <c:v>44562</c:v>
              </c:pt>
              <c:pt idx="6">
                <c:v>44593</c:v>
              </c:pt>
              <c:pt idx="7">
                <c:v>44621</c:v>
              </c:pt>
              <c:pt idx="8">
                <c:v>44652</c:v>
              </c:pt>
              <c:pt idx="9">
                <c:v>44682</c:v>
              </c:pt>
              <c:pt idx="10">
                <c:v>44713</c:v>
              </c:pt>
              <c:pt idx="11">
                <c:v>44743</c:v>
              </c:pt>
            </c:numLit>
          </c:cat>
          <c:val>
            <c:numRef>
              <c:f>'Solar vs Load'!$J$6:$J$17</c:f>
              <c:numCache>
                <c:formatCode>#,##0</c:formatCode>
                <c:ptCount val="12"/>
                <c:pt idx="0">
                  <c:v>2654781</c:v>
                </c:pt>
                <c:pt idx="1">
                  <c:v>3040045</c:v>
                </c:pt>
                <c:pt idx="2">
                  <c:v>2832930</c:v>
                </c:pt>
                <c:pt idx="3">
                  <c:v>2931989</c:v>
                </c:pt>
                <c:pt idx="4">
                  <c:v>3230098</c:v>
                </c:pt>
                <c:pt idx="5">
                  <c:v>2483106</c:v>
                </c:pt>
                <c:pt idx="6">
                  <c:v>2387963</c:v>
                </c:pt>
                <c:pt idx="7">
                  <c:v>3623015</c:v>
                </c:pt>
                <c:pt idx="8">
                  <c:v>1862728</c:v>
                </c:pt>
                <c:pt idx="9">
                  <c:v>2185472</c:v>
                </c:pt>
                <c:pt idx="10">
                  <c:v>2674153</c:v>
                </c:pt>
                <c:pt idx="11">
                  <c:v>2565084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3E0-40FE-91F7-A5C94D1494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47"/>
        <c:axId val="310719144"/>
        <c:axId val="310516120"/>
      </c:barChart>
      <c:lineChart>
        <c:grouping val="stacked"/>
        <c:varyColors val="0"/>
        <c:ser>
          <c:idx val="0"/>
          <c:order val="0"/>
          <c:tx>
            <c:v>Solar</c:v>
          </c:tx>
          <c:spPr>
            <a:ln w="34925" cap="rnd">
              <a:solidFill>
                <a:srgbClr val="FFFF00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1">
                      <a:satMod val="103000"/>
                      <a:lumMod val="102000"/>
                      <a:tint val="94000"/>
                    </a:schemeClr>
                  </a:gs>
                  <a:gs pos="50000">
                    <a:schemeClr val="accent1">
                      <a:satMod val="110000"/>
                      <a:lumMod val="100000"/>
                      <a:shade val="100000"/>
                    </a:schemeClr>
                  </a:gs>
                  <a:gs pos="100000">
                    <a:schemeClr val="accent1">
                      <a:lumMod val="99000"/>
                      <a:satMod val="120000"/>
                      <a:shade val="78000"/>
                    </a:schemeClr>
                  </a:gs>
                </a:gsLst>
                <a:lin ang="5400000" scaled="0"/>
              </a:gradFill>
              <a:ln w="9525">
                <a:solidFill>
                  <a:srgbClr val="FFFF00"/>
                </a:solidFill>
                <a:round/>
              </a:ln>
              <a:effectLst>
                <a:outerShdw blurRad="57150" dist="19050" dir="5400000" algn="ctr" rotWithShape="0">
                  <a:srgbClr val="000000">
                    <a:alpha val="63000"/>
                  </a:srgbClr>
                </a:outerShdw>
              </a:effectLst>
            </c:spPr>
          </c:marker>
          <c:cat>
            <c:numRef>
              <c:f>'Solar vs Load'!$K$6:$K$17</c:f>
              <c:numCache>
                <c:formatCode>mmm\-yy</c:formatCode>
                <c:ptCount val="12"/>
                <c:pt idx="0">
                  <c:v>45658</c:v>
                </c:pt>
                <c:pt idx="1">
                  <c:v>45689</c:v>
                </c:pt>
                <c:pt idx="2">
                  <c:v>45717</c:v>
                </c:pt>
                <c:pt idx="3">
                  <c:v>45748</c:v>
                </c:pt>
                <c:pt idx="4">
                  <c:v>45778</c:v>
                </c:pt>
                <c:pt idx="5">
                  <c:v>45444</c:v>
                </c:pt>
                <c:pt idx="6">
                  <c:v>45474</c:v>
                </c:pt>
                <c:pt idx="7">
                  <c:v>45505</c:v>
                </c:pt>
                <c:pt idx="8">
                  <c:v>45536</c:v>
                </c:pt>
                <c:pt idx="9">
                  <c:v>45566</c:v>
                </c:pt>
                <c:pt idx="10">
                  <c:v>45597</c:v>
                </c:pt>
                <c:pt idx="11">
                  <c:v>45627</c:v>
                </c:pt>
              </c:numCache>
            </c:numRef>
          </c:cat>
          <c:val>
            <c:numRef>
              <c:f>'Solar vs Load'!$I$6:$I$17</c:f>
              <c:numCache>
                <c:formatCode>#,##0</c:formatCode>
                <c:ptCount val="12"/>
                <c:pt idx="0">
                  <c:v>111339.3</c:v>
                </c:pt>
                <c:pt idx="1">
                  <c:v>117534.9</c:v>
                </c:pt>
                <c:pt idx="2">
                  <c:v>138881.60000000001</c:v>
                </c:pt>
                <c:pt idx="3">
                  <c:v>144419.4</c:v>
                </c:pt>
                <c:pt idx="4">
                  <c:v>135918.20000000001</c:v>
                </c:pt>
                <c:pt idx="5">
                  <c:v>145828.70000000001</c:v>
                </c:pt>
                <c:pt idx="6">
                  <c:v>146832.9</c:v>
                </c:pt>
                <c:pt idx="7">
                  <c:v>156810.20000000001</c:v>
                </c:pt>
                <c:pt idx="8">
                  <c:v>131912.79999999999</c:v>
                </c:pt>
                <c:pt idx="9">
                  <c:v>128600.5</c:v>
                </c:pt>
                <c:pt idx="10">
                  <c:v>105277.4</c:v>
                </c:pt>
                <c:pt idx="11">
                  <c:v>100891.4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3E0-40FE-91F7-A5C94D14942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310719144"/>
        <c:axId val="310516120"/>
      </c:lineChart>
      <c:catAx>
        <c:axId val="310719144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310516120"/>
        <c:crosses val="autoZero"/>
        <c:auto val="0"/>
        <c:lblAlgn val="ctr"/>
        <c:lblOffset val="100"/>
        <c:noMultiLvlLbl val="0"/>
      </c:catAx>
      <c:valAx>
        <c:axId val="31051612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3107191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s-MX"/>
              <a:t>Proyeccion de incremento de la tarifa CFE al 6% anual vs</a:t>
            </a:r>
            <a:r>
              <a:rPr lang="es-MX" baseline="0"/>
              <a:t> pago fijo</a:t>
            </a:r>
            <a:endParaRPr lang="es-MX"/>
          </a:p>
        </c:rich>
      </c:tx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>
        <c:manualLayout>
          <c:layoutTarget val="inner"/>
          <c:xMode val="edge"/>
          <c:yMode val="edge"/>
          <c:x val="7.4932695727574092E-2"/>
          <c:y val="0.16662049861495848"/>
          <c:w val="0.90858197621439751"/>
          <c:h val="0.72166081386641079"/>
        </c:manualLayout>
      </c:layout>
      <c:barChart>
        <c:barDir val="col"/>
        <c:grouping val="stacked"/>
        <c:varyColors val="0"/>
        <c:ser>
          <c:idx val="0"/>
          <c:order val="0"/>
          <c:tx>
            <c:strRef>
              <c:f>'Pay Fdo GTO'!$A$24</c:f>
              <c:strCache>
                <c:ptCount val="1"/>
                <c:pt idx="0">
                  <c:v>CONSUMO A CFE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numRef>
              <c:f>'Pay Fdo GTO'!$C$21:$J$21</c:f>
              <c:numCache>
                <c:formatCode>General</c:formatCode>
                <c:ptCount val="8"/>
                <c:pt idx="0">
                  <c:v>2025</c:v>
                </c:pt>
                <c:pt idx="1">
                  <c:v>2026</c:v>
                </c:pt>
                <c:pt idx="2">
                  <c:v>2027</c:v>
                </c:pt>
                <c:pt idx="3">
                  <c:v>2028</c:v>
                </c:pt>
                <c:pt idx="4">
                  <c:v>2029</c:v>
                </c:pt>
                <c:pt idx="5">
                  <c:v>2030</c:v>
                </c:pt>
                <c:pt idx="6">
                  <c:v>2031</c:v>
                </c:pt>
                <c:pt idx="7">
                  <c:v>2032</c:v>
                </c:pt>
              </c:numCache>
            </c:numRef>
          </c:cat>
          <c:val>
            <c:numRef>
              <c:f>'Pay Fdo GTO'!$C$24:$J$24</c:f>
              <c:numCache>
                <c:formatCode>"$"#,##0_);[Red]\("$"#,##0\)</c:formatCode>
                <c:ptCount val="8"/>
                <c:pt idx="0">
                  <c:v>81013148.252063334</c:v>
                </c:pt>
                <c:pt idx="1">
                  <c:v>85873937.147187129</c:v>
                </c:pt>
                <c:pt idx="2">
                  <c:v>91026373.37601836</c:v>
                </c:pt>
                <c:pt idx="3">
                  <c:v>96487955.778579473</c:v>
                </c:pt>
                <c:pt idx="4">
                  <c:v>102277233.12529425</c:v>
                </c:pt>
                <c:pt idx="5">
                  <c:v>108413867.11281191</c:v>
                </c:pt>
                <c:pt idx="6">
                  <c:v>114918699.13958062</c:v>
                </c:pt>
                <c:pt idx="7">
                  <c:v>121813821.08795546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EE4-4502-B2A9-F73BD55587EA}"/>
            </c:ext>
          </c:extLst>
        </c:ser>
        <c:ser>
          <c:idx val="1"/>
          <c:order val="1"/>
          <c:tx>
            <c:strRef>
              <c:f>'Pay Fdo GTO'!$A$23</c:f>
              <c:strCache>
                <c:ptCount val="1"/>
                <c:pt idx="0">
                  <c:v>AUTOCONSUMO CON PANELES</c:v>
                </c:pt>
              </c:strCache>
            </c:strRef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cat>
            <c:numRef>
              <c:f>'Pay Fdo GTO'!$C$21:$J$21</c:f>
              <c:numCache>
                <c:formatCode>General</c:formatCode>
                <c:ptCount val="8"/>
                <c:pt idx="0">
                  <c:v>2025</c:v>
                </c:pt>
                <c:pt idx="1">
                  <c:v>2026</c:v>
                </c:pt>
                <c:pt idx="2">
                  <c:v>2027</c:v>
                </c:pt>
                <c:pt idx="3">
                  <c:v>2028</c:v>
                </c:pt>
                <c:pt idx="4">
                  <c:v>2029</c:v>
                </c:pt>
                <c:pt idx="5">
                  <c:v>2030</c:v>
                </c:pt>
                <c:pt idx="6">
                  <c:v>2031</c:v>
                </c:pt>
                <c:pt idx="7">
                  <c:v>2032</c:v>
                </c:pt>
              </c:numCache>
            </c:numRef>
          </c:cat>
          <c:val>
            <c:numRef>
              <c:f>'Pay Fdo GTO'!$C$23:$J$23</c:f>
              <c:numCache>
                <c:formatCode>"$"#,##0_);[Red]\("$"#,##0\)</c:formatCode>
                <c:ptCount val="8"/>
                <c:pt idx="0">
                  <c:v>341681.28020439</c:v>
                </c:pt>
                <c:pt idx="1">
                  <c:v>362182.15701665345</c:v>
                </c:pt>
                <c:pt idx="2">
                  <c:v>383913.08643765264</c:v>
                </c:pt>
                <c:pt idx="3">
                  <c:v>406947.87162391178</c:v>
                </c:pt>
                <c:pt idx="4">
                  <c:v>431364.74392134655</c:v>
                </c:pt>
                <c:pt idx="5">
                  <c:v>457246.62855662737</c:v>
                </c:pt>
                <c:pt idx="6">
                  <c:v>484681.42627002503</c:v>
                </c:pt>
                <c:pt idx="7">
                  <c:v>513762.31184622657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CEE4-4502-B2A9-F73BD55587E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310613032"/>
        <c:axId val="310725208"/>
      </c:barChart>
      <c:catAx>
        <c:axId val="31061303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310725208"/>
        <c:crosses val="autoZero"/>
        <c:auto val="1"/>
        <c:lblAlgn val="ctr"/>
        <c:lblOffset val="100"/>
        <c:noMultiLvlLbl val="0"/>
      </c:catAx>
      <c:valAx>
        <c:axId val="31072520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&quot;$&quot;#,##0_);[Red]\(&quot;$&quot;#,##0\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31061303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2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5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4.png"/><Relationship Id="rId5" Type="http://schemas.openxmlformats.org/officeDocument/2006/relationships/chart" Target="../charts/chart2.xml"/><Relationship Id="rId4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9.png"/><Relationship Id="rId2" Type="http://schemas.microsoft.com/office/2007/relationships/hdphoto" Target="../media/hdphoto1.wdp"/><Relationship Id="rId1" Type="http://schemas.openxmlformats.org/officeDocument/2006/relationships/image" Target="../media/image8.png"/><Relationship Id="rId4" Type="http://schemas.openxmlformats.org/officeDocument/2006/relationships/image" Target="../media/image10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693814</xdr:colOff>
      <xdr:row>21</xdr:row>
      <xdr:rowOff>101494</xdr:rowOff>
    </xdr:from>
    <xdr:to>
      <xdr:col>25</xdr:col>
      <xdr:colOff>376314</xdr:colOff>
      <xdr:row>24</xdr:row>
      <xdr:rowOff>139142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1486155" y="5057564"/>
          <a:ext cx="608474" cy="637426"/>
        </a:xfrm>
        <a:prstGeom prst="rect">
          <a:avLst/>
        </a:prstGeom>
      </xdr:spPr>
    </xdr:pic>
    <xdr:clientData/>
  </xdr:twoCellAnchor>
  <xdr:twoCellAnchor editAs="oneCell">
    <xdr:from>
      <xdr:col>27</xdr:col>
      <xdr:colOff>458612</xdr:colOff>
      <xdr:row>21</xdr:row>
      <xdr:rowOff>164629</xdr:rowOff>
    </xdr:from>
    <xdr:to>
      <xdr:col>28</xdr:col>
      <xdr:colOff>157574</xdr:colOff>
      <xdr:row>25</xdr:row>
      <xdr:rowOff>2350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642593" y="4833055"/>
          <a:ext cx="635000" cy="635000"/>
        </a:xfrm>
        <a:prstGeom prst="rect">
          <a:avLst/>
        </a:prstGeom>
      </xdr:spPr>
    </xdr:pic>
    <xdr:clientData/>
  </xdr:twoCellAnchor>
  <xdr:twoCellAnchor editAs="oneCell">
    <xdr:from>
      <xdr:col>30</xdr:col>
      <xdr:colOff>488244</xdr:colOff>
      <xdr:row>21</xdr:row>
      <xdr:rowOff>164629</xdr:rowOff>
    </xdr:from>
    <xdr:to>
      <xdr:col>31</xdr:col>
      <xdr:colOff>300097</xdr:colOff>
      <xdr:row>25</xdr:row>
      <xdr:rowOff>2350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34144" y="4990629"/>
          <a:ext cx="624652" cy="650522"/>
        </a:xfrm>
        <a:prstGeom prst="rect">
          <a:avLst/>
        </a:prstGeom>
      </xdr:spPr>
    </xdr:pic>
    <xdr:clientData/>
  </xdr:twoCellAnchor>
  <xdr:twoCellAnchor>
    <xdr:from>
      <xdr:col>51</xdr:col>
      <xdr:colOff>281214</xdr:colOff>
      <xdr:row>35</xdr:row>
      <xdr:rowOff>78921</xdr:rowOff>
    </xdr:from>
    <xdr:to>
      <xdr:col>57</xdr:col>
      <xdr:colOff>357414</xdr:colOff>
      <xdr:row>46</xdr:row>
      <xdr:rowOff>152400</xdr:rowOff>
    </xdr:to>
    <xdr:sp macro="" textlink="">
      <xdr:nvSpPr>
        <xdr:cNvPr id="50" name="CuadroTexto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SpPr txBox="1"/>
      </xdr:nvSpPr>
      <xdr:spPr>
        <a:xfrm>
          <a:off x="42165814" y="8073571"/>
          <a:ext cx="5727700" cy="2511879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Precio Incluye IVA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Mantenimiento del primer año.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Incluye flete terrestre.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Seguro de Mercancía.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Visitas técnicas previas a la Instalación, cumpliendo con el manual de Interconexión para centrales de generación distribuida.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Incluye equipo especial de Montaje y elevación de materiales.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Supervisión de Instalación por personal certificado.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Etapa de transformación y acondicionamiento de señal eléctrica en caso de que se requiera al punto de interconexión.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Cumplimiento de código de red para centrales de generación de energía eléctrica.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Incluye trámite de Oficio de Presupuesto de Obra (OPO) ante CFE, en caso de ser requerido.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Incluye protocolo de seguridad para instalación en altura.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Incluye estudio de generación de energía eléctrica con software especializado.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Viáticos.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15 años de garantía por defecto de fábrica.</a:t>
          </a:r>
        </a:p>
        <a:p>
          <a:r>
            <a:rPr lang="es-MX" sz="900">
              <a:solidFill>
                <a:schemeClr val="dk1"/>
              </a:solidFill>
              <a:effectLst/>
              <a:latin typeface="+mn-lt"/>
              <a:ea typeface="+mn-ea"/>
              <a:cs typeface="+mn-cs"/>
            </a:rPr>
            <a:t>QUEDAMOS A SUS ÓRDENES Y EN ESPERA DE SU FAVORABLE RESPUESTA</a:t>
          </a:r>
        </a:p>
      </xdr:txBody>
    </xdr:sp>
    <xdr:clientData/>
  </xdr:twoCellAnchor>
  <xdr:oneCellAnchor>
    <xdr:from>
      <xdr:col>24</xdr:col>
      <xdr:colOff>21167</xdr:colOff>
      <xdr:row>8</xdr:row>
      <xdr:rowOff>0</xdr:rowOff>
    </xdr:from>
    <xdr:ext cx="6547556" cy="479777"/>
    <xdr:sp macro="" textlink="">
      <xdr:nvSpPr>
        <xdr:cNvPr id="53" name="CuadroTexto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SpPr txBox="1"/>
      </xdr:nvSpPr>
      <xdr:spPr>
        <a:xfrm>
          <a:off x="6523567" y="1625600"/>
          <a:ext cx="6547556" cy="479777"/>
        </a:xfrm>
        <a:prstGeom prst="rect">
          <a:avLst/>
        </a:prstGeom>
        <a:solidFill>
          <a:schemeClr val="tx1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ctr">
          <a:noAutofit/>
        </a:bodyPr>
        <a:lstStyle/>
        <a:p>
          <a:pPr algn="ctr"/>
          <a:r>
            <a:rPr lang="es-MX" sz="1600" b="1">
              <a:solidFill>
                <a:schemeClr val="bg1"/>
              </a:solidFill>
            </a:rPr>
            <a:t>SISTEMA FOTOVOLTAICO PARA GENERACIÓN DE ENERGÍA</a:t>
          </a:r>
        </a:p>
      </xdr:txBody>
    </xdr:sp>
    <xdr:clientData/>
  </xdr:oneCellAnchor>
  <xdr:twoCellAnchor>
    <xdr:from>
      <xdr:col>16</xdr:col>
      <xdr:colOff>819149</xdr:colOff>
      <xdr:row>20</xdr:row>
      <xdr:rowOff>85724</xdr:rowOff>
    </xdr:from>
    <xdr:to>
      <xdr:col>23</xdr:col>
      <xdr:colOff>304884</xdr:colOff>
      <xdr:row>36</xdr:row>
      <xdr:rowOff>352424</xdr:rowOff>
    </xdr:to>
    <xdr:graphicFrame macro="">
      <xdr:nvGraphicFramePr>
        <xdr:cNvPr id="48" name="Gráfico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30</xdr:col>
      <xdr:colOff>342900</xdr:colOff>
      <xdr:row>27</xdr:row>
      <xdr:rowOff>190500</xdr:rowOff>
    </xdr:from>
    <xdr:to>
      <xdr:col>31</xdr:col>
      <xdr:colOff>355600</xdr:colOff>
      <xdr:row>28</xdr:row>
      <xdr:rowOff>165100</xdr:rowOff>
    </xdr:to>
    <xdr:sp macro="" textlink="">
      <xdr:nvSpPr>
        <xdr:cNvPr id="8" name="CuadroTexto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 txBox="1"/>
      </xdr:nvSpPr>
      <xdr:spPr>
        <a:xfrm>
          <a:off x="32867600" y="6223000"/>
          <a:ext cx="863600" cy="177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s-MX" sz="1100" b="1">
              <a:solidFill>
                <a:sysClr val="windowText" lastClr="000000"/>
              </a:solidFill>
            </a:rPr>
            <a:t>MENSUAL</a:t>
          </a:r>
        </a:p>
      </xdr:txBody>
    </xdr:sp>
    <xdr:clientData/>
  </xdr:twoCellAnchor>
  <xdr:twoCellAnchor>
    <xdr:from>
      <xdr:col>24</xdr:col>
      <xdr:colOff>584200</xdr:colOff>
      <xdr:row>28</xdr:row>
      <xdr:rowOff>12700</xdr:rowOff>
    </xdr:from>
    <xdr:to>
      <xdr:col>25</xdr:col>
      <xdr:colOff>495300</xdr:colOff>
      <xdr:row>28</xdr:row>
      <xdr:rowOff>190500</xdr:rowOff>
    </xdr:to>
    <xdr:sp macro="" textlink="">
      <xdr:nvSpPr>
        <xdr:cNvPr id="55" name="CuadroTexto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SpPr txBox="1"/>
      </xdr:nvSpPr>
      <xdr:spPr>
        <a:xfrm>
          <a:off x="27813000" y="6248400"/>
          <a:ext cx="863600" cy="177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s-MX" sz="1100" b="1">
              <a:solidFill>
                <a:sysClr val="windowText" lastClr="000000"/>
              </a:solidFill>
            </a:rPr>
            <a:t>MENSUAL</a:t>
          </a:r>
        </a:p>
      </xdr:txBody>
    </xdr:sp>
    <xdr:clientData/>
  </xdr:twoCellAnchor>
  <xdr:twoCellAnchor>
    <xdr:from>
      <xdr:col>24</xdr:col>
      <xdr:colOff>495300</xdr:colOff>
      <xdr:row>30</xdr:row>
      <xdr:rowOff>76200</xdr:rowOff>
    </xdr:from>
    <xdr:to>
      <xdr:col>25</xdr:col>
      <xdr:colOff>406400</xdr:colOff>
      <xdr:row>30</xdr:row>
      <xdr:rowOff>254000</xdr:rowOff>
    </xdr:to>
    <xdr:sp macro="" textlink="">
      <xdr:nvSpPr>
        <xdr:cNvPr id="56" name="CuadroTexto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SpPr txBox="1"/>
      </xdr:nvSpPr>
      <xdr:spPr>
        <a:xfrm>
          <a:off x="27724100" y="6718300"/>
          <a:ext cx="863600" cy="177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 b="1">
              <a:solidFill>
                <a:sysClr val="windowText" lastClr="000000"/>
              </a:solidFill>
            </a:rPr>
            <a:t>ANUAL</a:t>
          </a:r>
        </a:p>
      </xdr:txBody>
    </xdr:sp>
    <xdr:clientData/>
  </xdr:twoCellAnchor>
  <xdr:twoCellAnchor>
    <xdr:from>
      <xdr:col>27</xdr:col>
      <xdr:colOff>469900</xdr:colOff>
      <xdr:row>28</xdr:row>
      <xdr:rowOff>12700</xdr:rowOff>
    </xdr:from>
    <xdr:to>
      <xdr:col>28</xdr:col>
      <xdr:colOff>393700</xdr:colOff>
      <xdr:row>28</xdr:row>
      <xdr:rowOff>190500</xdr:rowOff>
    </xdr:to>
    <xdr:sp macro="" textlink="">
      <xdr:nvSpPr>
        <xdr:cNvPr id="57" name="CuadroTexto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SpPr txBox="1"/>
      </xdr:nvSpPr>
      <xdr:spPr>
        <a:xfrm>
          <a:off x="30353000" y="6248400"/>
          <a:ext cx="863600" cy="177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r>
            <a:rPr lang="es-MX" sz="1100" b="1">
              <a:solidFill>
                <a:sysClr val="windowText" lastClr="000000"/>
              </a:solidFill>
            </a:rPr>
            <a:t>MENSUAL</a:t>
          </a:r>
        </a:p>
      </xdr:txBody>
    </xdr:sp>
    <xdr:clientData/>
  </xdr:twoCellAnchor>
  <xdr:twoCellAnchor>
    <xdr:from>
      <xdr:col>27</xdr:col>
      <xdr:colOff>381000</xdr:colOff>
      <xdr:row>30</xdr:row>
      <xdr:rowOff>76200</xdr:rowOff>
    </xdr:from>
    <xdr:to>
      <xdr:col>28</xdr:col>
      <xdr:colOff>304800</xdr:colOff>
      <xdr:row>30</xdr:row>
      <xdr:rowOff>254000</xdr:rowOff>
    </xdr:to>
    <xdr:sp macro="" textlink="">
      <xdr:nvSpPr>
        <xdr:cNvPr id="58" name="CuadroTexto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SpPr txBox="1"/>
      </xdr:nvSpPr>
      <xdr:spPr>
        <a:xfrm>
          <a:off x="30264100" y="6718300"/>
          <a:ext cx="863600" cy="177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 b="1">
              <a:solidFill>
                <a:sysClr val="windowText" lastClr="000000"/>
              </a:solidFill>
            </a:rPr>
            <a:t>ANUAL</a:t>
          </a:r>
        </a:p>
      </xdr:txBody>
    </xdr:sp>
    <xdr:clientData/>
  </xdr:twoCellAnchor>
  <xdr:twoCellAnchor>
    <xdr:from>
      <xdr:col>30</xdr:col>
      <xdr:colOff>279400</xdr:colOff>
      <xdr:row>30</xdr:row>
      <xdr:rowOff>76200</xdr:rowOff>
    </xdr:from>
    <xdr:to>
      <xdr:col>31</xdr:col>
      <xdr:colOff>292100</xdr:colOff>
      <xdr:row>30</xdr:row>
      <xdr:rowOff>254000</xdr:rowOff>
    </xdr:to>
    <xdr:sp macro="" textlink="">
      <xdr:nvSpPr>
        <xdr:cNvPr id="59" name="CuadroTexto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SpPr txBox="1"/>
      </xdr:nvSpPr>
      <xdr:spPr>
        <a:xfrm>
          <a:off x="32804100" y="6718300"/>
          <a:ext cx="863600" cy="177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s-MX" sz="1100" b="1">
              <a:solidFill>
                <a:sysClr val="windowText" lastClr="000000"/>
              </a:solidFill>
            </a:rPr>
            <a:t>ANUAL</a:t>
          </a:r>
        </a:p>
      </xdr:txBody>
    </xdr:sp>
    <xdr:clientData/>
  </xdr:twoCellAnchor>
  <xdr:twoCellAnchor>
    <xdr:from>
      <xdr:col>40</xdr:col>
      <xdr:colOff>751112</xdr:colOff>
      <xdr:row>24</xdr:row>
      <xdr:rowOff>16327</xdr:rowOff>
    </xdr:from>
    <xdr:to>
      <xdr:col>49</xdr:col>
      <xdr:colOff>478970</xdr:colOff>
      <xdr:row>36</xdr:row>
      <xdr:rowOff>435427</xdr:rowOff>
    </xdr:to>
    <xdr:graphicFrame macro="">
      <xdr:nvGraphicFramePr>
        <xdr:cNvPr id="9" name="Gráfico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 editAs="oneCell">
    <xdr:from>
      <xdr:col>8</xdr:col>
      <xdr:colOff>21046</xdr:colOff>
      <xdr:row>0</xdr:row>
      <xdr:rowOff>147313</xdr:rowOff>
    </xdr:from>
    <xdr:to>
      <xdr:col>15</xdr:col>
      <xdr:colOff>723917</xdr:colOff>
      <xdr:row>13</xdr:row>
      <xdr:rowOff>120398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4EA3C6A2-0283-C061-C869-FF1E4238E7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071080" y="147313"/>
          <a:ext cx="6742752" cy="2824666"/>
        </a:xfrm>
        <a:prstGeom prst="rect">
          <a:avLst/>
        </a:prstGeom>
      </xdr:spPr>
    </xdr:pic>
    <xdr:clientData/>
  </xdr:twoCellAnchor>
  <xdr:twoCellAnchor editAs="oneCell">
    <xdr:from>
      <xdr:col>8</xdr:col>
      <xdr:colOff>105224</xdr:colOff>
      <xdr:row>13</xdr:row>
      <xdr:rowOff>242016</xdr:rowOff>
    </xdr:from>
    <xdr:to>
      <xdr:col>15</xdr:col>
      <xdr:colOff>494555</xdr:colOff>
      <xdr:row>31</xdr:row>
      <xdr:rowOff>80070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9A1B5598-AE61-831E-3FF1-2247EA0CA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155258" y="3093597"/>
          <a:ext cx="6429212" cy="4068074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17</xdr:col>
      <xdr:colOff>511095</xdr:colOff>
      <xdr:row>117</xdr:row>
      <xdr:rowOff>59215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screen">
          <a:grayscl/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brightnessContrast bright="-40000" contrast="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/>
            </a:ext>
          </a:extLst>
        </a:blip>
        <a:srcRect l="242" t="65" r="242" b="65"/>
        <a:stretch/>
      </xdr:blipFill>
      <xdr:spPr>
        <a:xfrm>
          <a:off x="0" y="0"/>
          <a:ext cx="14328695" cy="23090665"/>
        </a:xfrm>
        <a:prstGeom prst="rect">
          <a:avLst/>
        </a:prstGeom>
      </xdr:spPr>
    </xdr:pic>
    <xdr:clientData fLocksWithSheet="0"/>
  </xdr:twoCellAnchor>
  <xdr:twoCellAnchor>
    <xdr:from>
      <xdr:col>0</xdr:col>
      <xdr:colOff>0</xdr:colOff>
      <xdr:row>44</xdr:row>
      <xdr:rowOff>5591</xdr:rowOff>
    </xdr:from>
    <xdr:to>
      <xdr:col>17</xdr:col>
      <xdr:colOff>475095</xdr:colOff>
      <xdr:row>44</xdr:row>
      <xdr:rowOff>126913</xdr:rowOff>
    </xdr:to>
    <xdr:sp macro="" textlink="">
      <xdr:nvSpPr>
        <xdr:cNvPr id="3" name="Rectángulo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SpPr/>
      </xdr:nvSpPr>
      <xdr:spPr>
        <a:xfrm>
          <a:off x="0" y="8387591"/>
          <a:ext cx="15048345" cy="121322"/>
        </a:xfrm>
        <a:prstGeom prst="rect">
          <a:avLst/>
        </a:prstGeom>
        <a:solidFill>
          <a:srgbClr val="E2B807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MX" sz="1100"/>
        </a:p>
      </xdr:txBody>
    </xdr:sp>
    <xdr:clientData/>
  </xdr:twoCellAnchor>
  <xdr:twoCellAnchor>
    <xdr:from>
      <xdr:col>0</xdr:col>
      <xdr:colOff>137537</xdr:colOff>
      <xdr:row>36</xdr:row>
      <xdr:rowOff>83950</xdr:rowOff>
    </xdr:from>
    <xdr:to>
      <xdr:col>8</xdr:col>
      <xdr:colOff>339820</xdr:colOff>
      <xdr:row>42</xdr:row>
      <xdr:rowOff>76200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7537" y="6941950"/>
          <a:ext cx="7060283" cy="1135250"/>
        </a:xfrm>
        <a:prstGeom prst="rect">
          <a:avLst/>
        </a:prstGeom>
      </xdr:spPr>
    </xdr:pic>
    <xdr:clientData/>
  </xdr:twoCellAnchor>
  <xdr:twoCellAnchor>
    <xdr:from>
      <xdr:col>19</xdr:col>
      <xdr:colOff>6076</xdr:colOff>
      <xdr:row>3</xdr:row>
      <xdr:rowOff>65535</xdr:rowOff>
    </xdr:from>
    <xdr:to>
      <xdr:col>32</xdr:col>
      <xdr:colOff>280951</xdr:colOff>
      <xdr:row>6</xdr:row>
      <xdr:rowOff>54755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>
        <a:xfrm>
          <a:off x="15388951" y="637035"/>
          <a:ext cx="10800000" cy="560720"/>
        </a:xfrm>
        <a:prstGeom prst="rect">
          <a:avLst/>
        </a:prstGeom>
        <a:solidFill>
          <a:srgbClr val="E2B807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s-MX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s-MX"/>
        </a:p>
      </xdr:txBody>
    </xdr:sp>
    <xdr:clientData/>
  </xdr:twoCellAnchor>
  <xdr:twoCellAnchor editAs="oneCell">
    <xdr:from>
      <xdr:col>19</xdr:col>
      <xdr:colOff>334944</xdr:colOff>
      <xdr:row>3</xdr:row>
      <xdr:rowOff>141654</xdr:rowOff>
    </xdr:from>
    <xdr:to>
      <xdr:col>21</xdr:col>
      <xdr:colOff>632905</xdr:colOff>
      <xdr:row>6</xdr:row>
      <xdr:rowOff>0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6652" t="13432" r="5149" b="13659"/>
        <a:stretch/>
      </xdr:blipFill>
      <xdr:spPr>
        <a:xfrm>
          <a:off x="15847087" y="740368"/>
          <a:ext cx="1930818" cy="457061"/>
        </a:xfrm>
        <a:prstGeom prst="rect">
          <a:avLst/>
        </a:prstGeom>
      </xdr:spPr>
    </xdr:pic>
    <xdr:clientData/>
  </xdr:twoCellAnchor>
  <xdr:twoCellAnchor>
    <xdr:from>
      <xdr:col>18</xdr:col>
      <xdr:colOff>553357</xdr:colOff>
      <xdr:row>3</xdr:row>
      <xdr:rowOff>65535</xdr:rowOff>
    </xdr:from>
    <xdr:to>
      <xdr:col>19</xdr:col>
      <xdr:colOff>18143</xdr:colOff>
      <xdr:row>6</xdr:row>
      <xdr:rowOff>54755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15249071" y="664249"/>
          <a:ext cx="281215" cy="587935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s-MX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s-MX"/>
        </a:p>
      </xdr:txBody>
    </xdr:sp>
    <xdr:clientData/>
  </xdr:twoCellAnchor>
  <xdr:twoCellAnchor>
    <xdr:from>
      <xdr:col>19</xdr:col>
      <xdr:colOff>6076</xdr:colOff>
      <xdr:row>11</xdr:row>
      <xdr:rowOff>129035</xdr:rowOff>
    </xdr:from>
    <xdr:to>
      <xdr:col>32</xdr:col>
      <xdr:colOff>280951</xdr:colOff>
      <xdr:row>14</xdr:row>
      <xdr:rowOff>118255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15388951" y="2224535"/>
          <a:ext cx="10800000" cy="560720"/>
        </a:xfrm>
        <a:prstGeom prst="rect">
          <a:avLst/>
        </a:prstGeom>
        <a:solidFill>
          <a:srgbClr val="E2B807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s-MX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s-MX"/>
        </a:p>
      </xdr:txBody>
    </xdr:sp>
    <xdr:clientData/>
  </xdr:twoCellAnchor>
  <xdr:twoCellAnchor>
    <xdr:from>
      <xdr:col>32</xdr:col>
      <xdr:colOff>251732</xdr:colOff>
      <xdr:row>11</xdr:row>
      <xdr:rowOff>129035</xdr:rowOff>
    </xdr:from>
    <xdr:to>
      <xdr:col>32</xdr:col>
      <xdr:colOff>526143</xdr:colOff>
      <xdr:row>14</xdr:row>
      <xdr:rowOff>118255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>
        <a:xfrm>
          <a:off x="26159732" y="2224535"/>
          <a:ext cx="274411" cy="560720"/>
        </a:xfrm>
        <a:prstGeom prst="rect">
          <a:avLst/>
        </a:prstGeom>
        <a:solidFill>
          <a:schemeClr val="tx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wrap="square" rtlCol="0" anchor="ctr"/>
        <a:lstStyle>
          <a:defPPr>
            <a:defRPr lang="es-MX"/>
          </a:defPPr>
          <a:lvl1pPr marL="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endParaRPr lang="es-MX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1587500</xdr:colOff>
      <xdr:row>1</xdr:row>
      <xdr:rowOff>177800</xdr:rowOff>
    </xdr:from>
    <xdr:to>
      <xdr:col>4</xdr:col>
      <xdr:colOff>10708389</xdr:colOff>
      <xdr:row>15</xdr:row>
      <xdr:rowOff>25400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74600" y="381000"/>
          <a:ext cx="9120889" cy="76835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12</xdr:col>
      <xdr:colOff>579966</xdr:colOff>
      <xdr:row>3</xdr:row>
      <xdr:rowOff>1058</xdr:rowOff>
    </xdr:from>
    <xdr:to>
      <xdr:col>18</xdr:col>
      <xdr:colOff>381000</xdr:colOff>
      <xdr:row>17</xdr:row>
      <xdr:rowOff>170391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15370</xdr:colOff>
      <xdr:row>28</xdr:row>
      <xdr:rowOff>180047</xdr:rowOff>
    </xdr:from>
    <xdr:to>
      <xdr:col>8</xdr:col>
      <xdr:colOff>897792</xdr:colOff>
      <xdr:row>44</xdr:row>
      <xdr:rowOff>4201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8</xdr:col>
      <xdr:colOff>79847</xdr:colOff>
      <xdr:row>54</xdr:row>
      <xdr:rowOff>64924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198120"/>
          <a:ext cx="6907367" cy="10565284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theme/theme1.xml><?xml version="1.0" encoding="utf-8"?>
<a:theme xmlns:a="http://schemas.openxmlformats.org/drawingml/2006/main" name="Office 2013 - Tema de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J1:BF103"/>
  <sheetViews>
    <sheetView showGridLines="0" showWhiteSpace="0" view="pageBreakPreview" topLeftCell="AQ1" zoomScale="79" zoomScaleNormal="55" zoomScaleSheetLayoutView="50" zoomScalePageLayoutView="30" workbookViewId="0">
      <selection activeCell="AZ6" sqref="AZ6:BF34"/>
    </sheetView>
  </sheetViews>
  <sheetFormatPr baseColWidth="10" defaultRowHeight="15.75"/>
  <cols>
    <col min="8" max="8" width="13.5" customWidth="1"/>
    <col min="16" max="16" width="10.625" customWidth="1"/>
    <col min="25" max="25" width="12.5" bestFit="1" customWidth="1"/>
    <col min="28" max="28" width="12.375" bestFit="1" customWidth="1"/>
    <col min="32" max="32" width="8.25" customWidth="1"/>
    <col min="40" max="40" width="11" bestFit="1" customWidth="1"/>
    <col min="41" max="41" width="19.625" customWidth="1"/>
    <col min="42" max="42" width="11" customWidth="1"/>
    <col min="43" max="43" width="12" customWidth="1"/>
    <col min="44" max="44" width="11" customWidth="1"/>
    <col min="45" max="45" width="10.75" customWidth="1"/>
    <col min="46" max="46" width="9.875" customWidth="1"/>
    <col min="47" max="47" width="10.5" customWidth="1"/>
    <col min="48" max="49" width="11" bestFit="1" customWidth="1"/>
    <col min="50" max="50" width="11.125" customWidth="1"/>
    <col min="51" max="51" width="0.75" customWidth="1"/>
    <col min="52" max="52" width="13" customWidth="1"/>
    <col min="53" max="53" width="15.25" customWidth="1"/>
    <col min="54" max="54" width="15.375" customWidth="1"/>
    <col min="56" max="56" width="9.625" customWidth="1"/>
    <col min="57" max="57" width="10.375" customWidth="1"/>
    <col min="58" max="58" width="13.625" customWidth="1"/>
  </cols>
  <sheetData>
    <row r="1" spans="10:58">
      <c r="Q1" t="s">
        <v>0</v>
      </c>
    </row>
    <row r="6" spans="10:58">
      <c r="J6" s="285"/>
      <c r="K6" s="285"/>
      <c r="L6" s="285"/>
      <c r="M6" s="285"/>
      <c r="N6" s="285"/>
      <c r="O6" s="285"/>
      <c r="W6" s="1"/>
      <c r="X6" s="2">
        <f ca="1">+TODAY()</f>
        <v>45958</v>
      </c>
      <c r="AF6" s="2">
        <f ca="1">+TODAY()</f>
        <v>45958</v>
      </c>
      <c r="AN6" s="2">
        <f ca="1">+TODAY()</f>
        <v>45958</v>
      </c>
      <c r="AO6" s="2"/>
      <c r="AP6" s="2"/>
      <c r="AQ6" s="2"/>
      <c r="AR6" s="2"/>
      <c r="AS6" s="2"/>
      <c r="AX6" s="2">
        <f ca="1">+TODAY()</f>
        <v>45958</v>
      </c>
      <c r="BF6" s="2">
        <f ca="1">+TODAY()</f>
        <v>45958</v>
      </c>
    </row>
    <row r="7" spans="10:58">
      <c r="J7" s="285"/>
      <c r="K7" s="285"/>
      <c r="L7" s="285"/>
      <c r="M7" s="285"/>
      <c r="N7" s="285"/>
      <c r="O7" s="285"/>
      <c r="V7" s="8" t="s">
        <v>187</v>
      </c>
      <c r="AD7" t="str">
        <f>+$V$7</f>
        <v>Código del Proyecto: HM-A0067</v>
      </c>
      <c r="AL7" t="str">
        <f>+$V$7</f>
        <v>Código del Proyecto: HM-A0067</v>
      </c>
      <c r="AV7" t="str">
        <f>+$V$7</f>
        <v>Código del Proyecto: HM-A0067</v>
      </c>
      <c r="BD7" t="str">
        <f>+$V$7</f>
        <v>Código del Proyecto: HM-A0067</v>
      </c>
    </row>
    <row r="8" spans="10:58" ht="16.149999999999999" customHeight="1">
      <c r="J8" s="285"/>
      <c r="K8" s="285"/>
      <c r="L8" s="285"/>
      <c r="M8" s="285"/>
      <c r="N8" s="285"/>
      <c r="O8" s="285"/>
      <c r="BA8" s="22" t="s">
        <v>189</v>
      </c>
    </row>
    <row r="9" spans="10:58" ht="18.95" customHeight="1">
      <c r="J9" s="285"/>
      <c r="K9" s="285"/>
      <c r="L9" s="285"/>
      <c r="M9" s="285"/>
      <c r="N9" s="285"/>
      <c r="O9" s="285"/>
      <c r="Q9" s="9" t="s">
        <v>1</v>
      </c>
      <c r="R9" s="288" t="str">
        <f>'PPA proposal'!P4</f>
        <v>Proviedncia Farms -Fortune Growers</v>
      </c>
      <c r="S9" s="288"/>
      <c r="T9" s="288"/>
      <c r="U9" s="288"/>
      <c r="V9" s="288"/>
      <c r="W9" s="288"/>
      <c r="X9" s="288"/>
      <c r="Y9" s="336"/>
      <c r="Z9" s="336"/>
      <c r="AA9" s="336"/>
      <c r="AB9" s="336"/>
      <c r="AC9" s="336"/>
      <c r="AD9" s="336"/>
      <c r="AE9" s="336"/>
      <c r="AF9" s="336"/>
      <c r="AG9" s="332" t="s">
        <v>16</v>
      </c>
      <c r="AH9" s="332"/>
      <c r="AI9" s="332"/>
      <c r="AJ9" s="332"/>
      <c r="AK9" s="332"/>
      <c r="AL9" s="332"/>
      <c r="AM9" s="332"/>
      <c r="AN9" s="332"/>
      <c r="AO9" s="332" t="s">
        <v>150</v>
      </c>
      <c r="AP9" s="332"/>
      <c r="AQ9" s="332"/>
      <c r="AR9" s="332"/>
      <c r="AS9" s="332"/>
      <c r="AT9" s="332"/>
      <c r="AU9" s="332"/>
      <c r="AV9" s="332"/>
      <c r="AW9" s="332"/>
      <c r="AX9" s="332"/>
      <c r="BA9" s="331" t="s">
        <v>190</v>
      </c>
      <c r="BB9" s="331"/>
      <c r="BC9" s="331"/>
      <c r="BD9" s="331"/>
      <c r="BE9" s="331"/>
    </row>
    <row r="10" spans="10:58" ht="18.95" customHeight="1">
      <c r="J10" s="285"/>
      <c r="K10" s="285"/>
      <c r="L10" s="285"/>
      <c r="M10" s="285"/>
      <c r="N10" s="285"/>
      <c r="O10" s="285"/>
      <c r="Q10" s="9" t="s">
        <v>4</v>
      </c>
      <c r="R10" s="5"/>
      <c r="S10" s="287">
        <v>235563333</v>
      </c>
      <c r="T10" s="287"/>
      <c r="U10" s="9" t="s">
        <v>2</v>
      </c>
      <c r="V10" s="6" t="str">
        <f>'PPA proposal'!P6</f>
        <v>GDMTH</v>
      </c>
      <c r="W10" s="5"/>
      <c r="X10" s="5"/>
      <c r="Y10" s="336"/>
      <c r="Z10" s="336"/>
      <c r="AA10" s="336"/>
      <c r="AB10" s="336"/>
      <c r="AC10" s="336"/>
      <c r="AD10" s="336"/>
      <c r="AE10" s="336"/>
      <c r="AF10" s="336"/>
      <c r="AG10" s="332"/>
      <c r="AH10" s="332"/>
      <c r="AI10" s="332"/>
      <c r="AJ10" s="332"/>
      <c r="AK10" s="332"/>
      <c r="AL10" s="332"/>
      <c r="AM10" s="332"/>
      <c r="AN10" s="332"/>
      <c r="AO10" s="332"/>
      <c r="AP10" s="332"/>
      <c r="AQ10" s="332"/>
      <c r="AR10" s="332"/>
      <c r="AS10" s="332"/>
      <c r="AT10" s="332"/>
      <c r="AU10" s="332"/>
      <c r="AV10" s="332"/>
      <c r="AW10" s="332"/>
      <c r="AX10" s="332"/>
      <c r="AZ10" s="19"/>
      <c r="BA10" s="331"/>
      <c r="BB10" s="331"/>
      <c r="BC10" s="331"/>
      <c r="BD10" s="331"/>
      <c r="BE10" s="331"/>
    </row>
    <row r="11" spans="10:58" ht="16.149999999999999" customHeight="1">
      <c r="J11" s="285"/>
      <c r="K11" s="285"/>
      <c r="L11" s="285"/>
      <c r="M11" s="285"/>
      <c r="N11" s="285"/>
      <c r="O11" s="285"/>
      <c r="Q11" s="295" t="s">
        <v>3</v>
      </c>
      <c r="R11" s="291" t="str">
        <f>+'PPA proposal'!P7</f>
        <v>Dolores Hidalgo, Guanajuato</v>
      </c>
      <c r="S11" s="291"/>
      <c r="T11" s="291"/>
      <c r="U11" s="291"/>
      <c r="V11" s="291"/>
      <c r="W11" s="291"/>
      <c r="X11" s="291"/>
      <c r="BA11" s="315" t="s">
        <v>17</v>
      </c>
      <c r="BB11" s="315"/>
      <c r="BC11" s="315"/>
      <c r="BD11" s="315"/>
      <c r="BE11" s="315"/>
      <c r="BF11" s="315"/>
    </row>
    <row r="12" spans="10:58" ht="18.600000000000001" customHeight="1" thickBot="1">
      <c r="J12" s="285"/>
      <c r="K12" s="285"/>
      <c r="L12" s="285"/>
      <c r="M12" s="285"/>
      <c r="N12" s="285"/>
      <c r="O12" s="285"/>
      <c r="Q12" s="295"/>
      <c r="R12" s="291"/>
      <c r="S12" s="291"/>
      <c r="T12" s="291"/>
      <c r="U12" s="291"/>
      <c r="V12" s="291"/>
      <c r="W12" s="291"/>
      <c r="X12" s="291"/>
      <c r="Y12" s="288" t="s">
        <v>176</v>
      </c>
      <c r="Z12" s="288"/>
      <c r="AB12" s="288" t="s">
        <v>8</v>
      </c>
      <c r="AC12" s="288"/>
      <c r="AE12" s="299" t="s">
        <v>146</v>
      </c>
      <c r="AF12" s="299"/>
      <c r="BA12" s="315"/>
      <c r="BB12" s="315"/>
      <c r="BC12" s="315"/>
      <c r="BD12" s="315"/>
      <c r="BE12" s="315"/>
      <c r="BF12" s="315"/>
    </row>
    <row r="13" spans="10:58" ht="27" customHeight="1" thickBot="1">
      <c r="J13" s="285"/>
      <c r="K13" s="285"/>
      <c r="L13" s="285"/>
      <c r="M13" s="285"/>
      <c r="N13" s="285"/>
      <c r="O13" s="285"/>
      <c r="Q13" s="296" t="s">
        <v>137</v>
      </c>
      <c r="R13" s="296"/>
      <c r="S13" s="197"/>
      <c r="T13" s="296" t="s">
        <v>138</v>
      </c>
      <c r="U13" s="296"/>
      <c r="V13" s="197"/>
      <c r="W13" s="297" t="s">
        <v>144</v>
      </c>
      <c r="X13" s="297"/>
      <c r="Y13" s="304">
        <f>EPC!B3</f>
        <v>1212</v>
      </c>
      <c r="Z13" s="304"/>
      <c r="AB13" s="289">
        <f>EPC!F10</f>
        <v>39</v>
      </c>
      <c r="AC13" s="289"/>
      <c r="AE13" s="299"/>
      <c r="AF13" s="299"/>
      <c r="AO13" s="5"/>
      <c r="AP13" s="337" t="s">
        <v>154</v>
      </c>
      <c r="AQ13" s="199" t="s">
        <v>177</v>
      </c>
      <c r="AR13" s="200" t="s">
        <v>164</v>
      </c>
      <c r="AS13" s="200" t="s">
        <v>165</v>
      </c>
      <c r="AT13" s="200" t="s">
        <v>166</v>
      </c>
      <c r="AU13" s="200" t="s">
        <v>167</v>
      </c>
      <c r="AV13" s="200" t="s">
        <v>168</v>
      </c>
      <c r="AW13" s="200" t="s">
        <v>169</v>
      </c>
      <c r="AX13" s="200" t="s">
        <v>170</v>
      </c>
    </row>
    <row r="14" spans="10:58" ht="30" customHeight="1" thickTop="1" thickBot="1">
      <c r="J14" s="285"/>
      <c r="K14" s="285"/>
      <c r="L14" s="285"/>
      <c r="M14" s="285"/>
      <c r="N14" s="285"/>
      <c r="O14" s="285"/>
      <c r="Q14" s="296"/>
      <c r="R14" s="296"/>
      <c r="S14" s="198"/>
      <c r="T14" s="296"/>
      <c r="U14" s="296"/>
      <c r="V14" s="198"/>
      <c r="W14" s="297"/>
      <c r="X14" s="297"/>
      <c r="Y14" s="304"/>
      <c r="Z14" s="304"/>
      <c r="AB14" s="289"/>
      <c r="AC14" s="289"/>
      <c r="AE14" s="299"/>
      <c r="AF14" s="299"/>
      <c r="AO14" s="5"/>
      <c r="AP14" s="338"/>
      <c r="AQ14" s="201">
        <v>2022</v>
      </c>
      <c r="AR14" s="201">
        <v>2023</v>
      </c>
      <c r="AS14" s="201">
        <v>2024</v>
      </c>
      <c r="AT14" s="201">
        <v>2025</v>
      </c>
      <c r="AU14" s="201">
        <v>2026</v>
      </c>
      <c r="AV14" s="201">
        <v>2027</v>
      </c>
      <c r="AW14" s="201">
        <v>2028</v>
      </c>
      <c r="AX14" s="201">
        <v>2029</v>
      </c>
      <c r="AZ14" s="211" t="s">
        <v>18</v>
      </c>
      <c r="BA14" s="319" t="s">
        <v>19</v>
      </c>
      <c r="BB14" s="320"/>
      <c r="BC14" s="321"/>
      <c r="BD14" s="212" t="s">
        <v>20</v>
      </c>
      <c r="BE14" s="213" t="s">
        <v>21</v>
      </c>
      <c r="BF14" s="213" t="s">
        <v>22</v>
      </c>
    </row>
    <row r="15" spans="10:58" ht="18.95" customHeight="1" thickTop="1" thickBot="1">
      <c r="J15" s="285"/>
      <c r="K15" s="285"/>
      <c r="L15" s="285"/>
      <c r="M15" s="285"/>
      <c r="N15" s="285"/>
      <c r="O15" s="285"/>
      <c r="Q15" s="292">
        <f>'PPA proposal'!D17</f>
        <v>32471364</v>
      </c>
      <c r="R15" s="292"/>
      <c r="S15" s="7"/>
      <c r="T15" s="293">
        <f>'PPA proposal'!E17</f>
        <v>2.2575916666666669</v>
      </c>
      <c r="U15" s="293"/>
      <c r="V15" s="7"/>
      <c r="W15" s="294">
        <f>'PPA proposal'!M18</f>
        <v>7092776.9678763337</v>
      </c>
      <c r="X15" s="294"/>
      <c r="Y15" s="290" t="s">
        <v>5</v>
      </c>
      <c r="Z15" s="290"/>
      <c r="AA15" s="163"/>
      <c r="AB15" s="290" t="s">
        <v>5</v>
      </c>
      <c r="AC15" s="290"/>
      <c r="AE15" s="300">
        <f>'Solar vs Load'!I19</f>
        <v>4.8173131870900159E-2</v>
      </c>
      <c r="AF15" s="300"/>
      <c r="AO15" s="5"/>
      <c r="AP15" s="202" t="s">
        <v>153</v>
      </c>
      <c r="AQ15" s="209">
        <f>'Pay Fdo GTO'!C22</f>
        <v>7092776.9678763337</v>
      </c>
      <c r="AR15" s="209">
        <f>'Pay Fdo GTO'!D22</f>
        <v>7518343.5859489143</v>
      </c>
      <c r="AS15" s="209">
        <f>'Pay Fdo GTO'!E22</f>
        <v>7969444.2011058489</v>
      </c>
      <c r="AT15" s="209">
        <f>'Pay Fdo GTO'!F22</f>
        <v>8447610.8531721998</v>
      </c>
      <c r="AU15" s="209">
        <f>'Pay Fdo GTO'!G22</f>
        <v>8954467.5043625329</v>
      </c>
      <c r="AV15" s="209">
        <f>'Pay Fdo GTO'!H22</f>
        <v>9491735.5546242855</v>
      </c>
      <c r="AW15" s="209">
        <f>'Pay Fdo GTO'!I22</f>
        <v>10061239.687901743</v>
      </c>
      <c r="AX15" s="209">
        <f>'Pay Fdo GTO'!J22</f>
        <v>10664914.069175849</v>
      </c>
      <c r="AZ15" s="316" t="s">
        <v>185</v>
      </c>
      <c r="BA15" s="322" t="s">
        <v>186</v>
      </c>
      <c r="BB15" s="323"/>
      <c r="BC15" s="324"/>
      <c r="BD15" s="343">
        <f>EPC!I3</f>
        <v>1282</v>
      </c>
      <c r="BE15" s="346">
        <f>BF15/BD15</f>
        <v>11615.811781591263</v>
      </c>
      <c r="BF15" s="312">
        <f>'main cash flow'!B19*tc</f>
        <v>14891470.704</v>
      </c>
    </row>
    <row r="16" spans="10:58" ht="16.149999999999999" customHeight="1">
      <c r="J16" s="285"/>
      <c r="K16" s="285"/>
      <c r="L16" s="285"/>
      <c r="M16" s="285"/>
      <c r="N16" s="285"/>
      <c r="O16" s="285"/>
      <c r="Q16" s="292"/>
      <c r="R16" s="292"/>
      <c r="S16" s="4"/>
      <c r="T16" s="293"/>
      <c r="U16" s="293"/>
      <c r="V16" s="4"/>
      <c r="W16" s="294"/>
      <c r="X16" s="294"/>
      <c r="Y16" s="164" t="s">
        <v>6</v>
      </c>
      <c r="Z16" s="164" t="str">
        <f>EPC!C9</f>
        <v>TSM-DEG21C.20 650</v>
      </c>
      <c r="AA16" s="163"/>
      <c r="AB16" s="164" t="s">
        <v>6</v>
      </c>
      <c r="AC16" s="164" t="str">
        <f>EPC!F9</f>
        <v>SUN2000-330KTL</v>
      </c>
      <c r="AE16" s="300"/>
      <c r="AF16" s="300"/>
      <c r="AO16" s="196" t="s">
        <v>151</v>
      </c>
      <c r="AP16" s="203">
        <f>'Pay Fdo GTO'!B23</f>
        <v>4.8173131870900159E-2</v>
      </c>
      <c r="AQ16" s="205">
        <f>'Pay Fdo GTO'!C23</f>
        <v>341681.28020439</v>
      </c>
      <c r="AR16" s="205">
        <f>'Pay Fdo GTO'!D23</f>
        <v>362182.15701665345</v>
      </c>
      <c r="AS16" s="205">
        <f>'Pay Fdo GTO'!E23</f>
        <v>383913.08643765264</v>
      </c>
      <c r="AT16" s="205">
        <f>'Pay Fdo GTO'!F23</f>
        <v>406947.87162391178</v>
      </c>
      <c r="AU16" s="205">
        <f>'Pay Fdo GTO'!G23</f>
        <v>431364.74392134655</v>
      </c>
      <c r="AV16" s="205">
        <f>'Pay Fdo GTO'!H23</f>
        <v>457246.62855662737</v>
      </c>
      <c r="AW16" s="205">
        <f>'Pay Fdo GTO'!I23</f>
        <v>484681.42627002503</v>
      </c>
      <c r="AX16" s="205">
        <f>'Pay Fdo GTO'!J23</f>
        <v>513762.31184622657</v>
      </c>
      <c r="AZ16" s="317"/>
      <c r="BA16" s="325"/>
      <c r="BB16" s="326"/>
      <c r="BC16" s="327"/>
      <c r="BD16" s="344"/>
      <c r="BE16" s="347"/>
      <c r="BF16" s="313"/>
    </row>
    <row r="17" spans="10:58" ht="16.5" thickBot="1">
      <c r="J17" s="285"/>
      <c r="K17" s="285"/>
      <c r="L17" s="285"/>
      <c r="M17" s="285"/>
      <c r="N17" s="285"/>
      <c r="O17" s="285"/>
      <c r="Y17" s="164" t="s">
        <v>7</v>
      </c>
      <c r="Z17" s="164" t="str">
        <f>EPC!C8</f>
        <v>Trina Solar</v>
      </c>
      <c r="AA17" s="163"/>
      <c r="AB17" s="164" t="s">
        <v>7</v>
      </c>
      <c r="AC17" s="164" t="str">
        <f>EPC!F8</f>
        <v>HUAWEI</v>
      </c>
      <c r="AE17" s="300"/>
      <c r="AF17" s="300"/>
      <c r="AO17" s="195" t="s">
        <v>147</v>
      </c>
      <c r="AP17" s="204">
        <v>0</v>
      </c>
      <c r="AQ17" s="206">
        <v>277.76</v>
      </c>
      <c r="AR17" s="206">
        <v>277.76</v>
      </c>
      <c r="AS17" s="206">
        <v>277.76</v>
      </c>
      <c r="AT17" s="206">
        <v>277.76</v>
      </c>
      <c r="AU17" s="206">
        <v>277.76</v>
      </c>
      <c r="AV17" s="206">
        <v>277.76</v>
      </c>
      <c r="AW17" s="206">
        <v>277.76</v>
      </c>
      <c r="AX17" s="206">
        <v>278</v>
      </c>
      <c r="AZ17" s="317"/>
      <c r="BA17" s="325"/>
      <c r="BB17" s="326"/>
      <c r="BC17" s="327"/>
      <c r="BD17" s="344"/>
      <c r="BE17" s="347"/>
      <c r="BF17" s="313"/>
    </row>
    <row r="18" spans="10:58" ht="29.25" thickBot="1">
      <c r="J18" s="285"/>
      <c r="K18" s="285"/>
      <c r="L18" s="285"/>
      <c r="M18" s="285"/>
      <c r="N18" s="285"/>
      <c r="O18" s="285"/>
      <c r="Q18" s="286" t="s">
        <v>26</v>
      </c>
      <c r="R18" s="286"/>
      <c r="S18" s="286"/>
      <c r="T18" s="286"/>
      <c r="U18" s="286"/>
      <c r="V18" s="286"/>
      <c r="W18" s="286"/>
      <c r="X18" s="286"/>
      <c r="Y18" s="163"/>
      <c r="Z18" s="163"/>
      <c r="AA18" s="163"/>
      <c r="AB18" s="163"/>
      <c r="AC18" s="163"/>
      <c r="AO18" s="196" t="s">
        <v>148</v>
      </c>
      <c r="AP18" s="178" t="s">
        <v>115</v>
      </c>
      <c r="AQ18" s="207">
        <f>'Pay Fdo GTO'!C25</f>
        <v>0</v>
      </c>
      <c r="AR18" s="207">
        <f>'Pay Fdo GTO'!D25</f>
        <v>245942.92448566799</v>
      </c>
      <c r="AS18" s="207">
        <f>'Pay Fdo GTO'!E25</f>
        <v>245942.92448566799</v>
      </c>
      <c r="AT18" s="207">
        <f>'Pay Fdo GTO'!F25</f>
        <v>245942.92448566799</v>
      </c>
      <c r="AU18" s="207">
        <f>'Pay Fdo GTO'!G25</f>
        <v>245942.92448566799</v>
      </c>
      <c r="AV18" s="207">
        <f>'Pay Fdo GTO'!H25</f>
        <v>0</v>
      </c>
      <c r="AW18" s="207">
        <f>'Pay Fdo GTO'!I25</f>
        <v>0</v>
      </c>
      <c r="AX18" s="207">
        <f>'Pay Fdo GTO'!J25</f>
        <v>0</v>
      </c>
      <c r="AZ18" s="317"/>
      <c r="BA18" s="325"/>
      <c r="BB18" s="326"/>
      <c r="BC18" s="327"/>
      <c r="BD18" s="344"/>
      <c r="BE18" s="347"/>
      <c r="BF18" s="313"/>
    </row>
    <row r="19" spans="10:58" ht="16.5" thickBot="1">
      <c r="J19" s="285"/>
      <c r="K19" s="285"/>
      <c r="L19" s="285"/>
      <c r="M19" s="285"/>
      <c r="N19" s="285"/>
      <c r="O19" s="285"/>
      <c r="AP19" s="167" t="s">
        <v>12</v>
      </c>
      <c r="AQ19" s="210">
        <f>AQ16-AQ18</f>
        <v>341681.28020439</v>
      </c>
      <c r="AR19" s="210">
        <f t="shared" ref="AR19:AW19" si="0">AR16-AR18</f>
        <v>116239.23253098546</v>
      </c>
      <c r="AS19" s="210">
        <f t="shared" si="0"/>
        <v>137970.16195198466</v>
      </c>
      <c r="AT19" s="210">
        <f t="shared" si="0"/>
        <v>161004.94713824379</v>
      </c>
      <c r="AU19" s="210">
        <f t="shared" si="0"/>
        <v>185421.81943567857</v>
      </c>
      <c r="AV19" s="210">
        <f t="shared" si="0"/>
        <v>457246.62855662737</v>
      </c>
      <c r="AW19" s="210">
        <f t="shared" si="0"/>
        <v>484681.42627002503</v>
      </c>
      <c r="AX19" s="210">
        <f>AX16-AX18</f>
        <v>513762.31184622657</v>
      </c>
      <c r="AZ19" s="317"/>
      <c r="BA19" s="325"/>
      <c r="BB19" s="326"/>
      <c r="BC19" s="327"/>
      <c r="BD19" s="344"/>
      <c r="BE19" s="347"/>
      <c r="BF19" s="313"/>
    </row>
    <row r="20" spans="10:58" ht="22.5" thickTop="1" thickBot="1">
      <c r="J20" s="285"/>
      <c r="K20" s="285"/>
      <c r="L20" s="285"/>
      <c r="M20" s="285"/>
      <c r="N20" s="285"/>
      <c r="O20" s="285"/>
      <c r="Y20" s="10" t="s">
        <v>171</v>
      </c>
      <c r="AO20" s="339" t="s">
        <v>152</v>
      </c>
      <c r="AP20" s="339"/>
      <c r="AQ20" s="339"/>
      <c r="AR20" s="339"/>
      <c r="AS20" s="339"/>
      <c r="AT20" s="339"/>
      <c r="AU20" s="339"/>
      <c r="AV20" s="339"/>
      <c r="AW20" s="339"/>
      <c r="AX20" s="173"/>
      <c r="AZ20" s="317"/>
      <c r="BA20" s="325"/>
      <c r="BB20" s="326"/>
      <c r="BC20" s="327"/>
      <c r="BD20" s="344"/>
      <c r="BE20" s="347"/>
      <c r="BF20" s="313"/>
    </row>
    <row r="21" spans="10:58" ht="16.5" thickBot="1">
      <c r="J21" s="285"/>
      <c r="K21" s="285"/>
      <c r="L21" s="285"/>
      <c r="M21" s="285"/>
      <c r="N21" s="285"/>
      <c r="O21" s="285"/>
      <c r="Y21" t="s">
        <v>172</v>
      </c>
      <c r="AO21" s="340" t="s">
        <v>149</v>
      </c>
      <c r="AP21" s="341"/>
      <c r="AQ21" s="208">
        <f t="shared" ref="AQ21:AX21" si="1">AQ17+AQ18</f>
        <v>277.76</v>
      </c>
      <c r="AR21" s="208">
        <f t="shared" si="1"/>
        <v>246220.684485668</v>
      </c>
      <c r="AS21" s="208">
        <f t="shared" si="1"/>
        <v>246220.684485668</v>
      </c>
      <c r="AT21" s="208">
        <f t="shared" si="1"/>
        <v>246220.684485668</v>
      </c>
      <c r="AU21" s="208">
        <f t="shared" si="1"/>
        <v>246220.684485668</v>
      </c>
      <c r="AV21" s="208">
        <f t="shared" si="1"/>
        <v>277.76</v>
      </c>
      <c r="AW21" s="208">
        <f t="shared" si="1"/>
        <v>277.76</v>
      </c>
      <c r="AX21" s="208">
        <f t="shared" si="1"/>
        <v>278</v>
      </c>
      <c r="AZ21" s="317"/>
      <c r="BA21" s="325"/>
      <c r="BB21" s="326"/>
      <c r="BC21" s="327"/>
      <c r="BD21" s="344"/>
      <c r="BE21" s="347"/>
      <c r="BF21" s="313"/>
    </row>
    <row r="22" spans="10:58">
      <c r="J22" s="285"/>
      <c r="K22" s="285"/>
      <c r="L22" s="285"/>
      <c r="M22" s="285"/>
      <c r="N22" s="285"/>
      <c r="O22" s="285"/>
      <c r="AP22" s="342"/>
      <c r="AZ22" s="317"/>
      <c r="BA22" s="325"/>
      <c r="BB22" s="326"/>
      <c r="BC22" s="327"/>
      <c r="BD22" s="344"/>
      <c r="BE22" s="347"/>
      <c r="BF22" s="313"/>
    </row>
    <row r="23" spans="10:58">
      <c r="J23" s="285"/>
      <c r="K23" s="285"/>
      <c r="L23" s="285"/>
      <c r="M23" s="285"/>
      <c r="N23" s="285"/>
      <c r="O23" s="285"/>
      <c r="AP23" s="342"/>
      <c r="AZ23" s="317"/>
      <c r="BA23" s="325"/>
      <c r="BB23" s="326"/>
      <c r="BC23" s="327"/>
      <c r="BD23" s="344"/>
      <c r="BE23" s="347"/>
      <c r="BF23" s="313"/>
    </row>
    <row r="24" spans="10:58">
      <c r="J24" s="285"/>
      <c r="K24" s="285"/>
      <c r="L24" s="285"/>
      <c r="M24" s="285"/>
      <c r="N24" s="285"/>
      <c r="O24" s="285"/>
      <c r="AZ24" s="317"/>
      <c r="BA24" s="325"/>
      <c r="BB24" s="326"/>
      <c r="BC24" s="327"/>
      <c r="BD24" s="344"/>
      <c r="BE24" s="347"/>
      <c r="BF24" s="313"/>
    </row>
    <row r="25" spans="10:58">
      <c r="J25" s="285"/>
      <c r="K25" s="285"/>
      <c r="L25" s="285"/>
      <c r="M25" s="285"/>
      <c r="N25" s="285"/>
      <c r="O25" s="285"/>
      <c r="AZ25" s="317"/>
      <c r="BA25" s="325"/>
      <c r="BB25" s="326"/>
      <c r="BC25" s="327"/>
      <c r="BD25" s="344"/>
      <c r="BE25" s="347"/>
      <c r="BF25" s="313"/>
    </row>
    <row r="26" spans="10:58" ht="16.149999999999999" customHeight="1">
      <c r="J26" s="285"/>
      <c r="K26" s="285"/>
      <c r="L26" s="285"/>
      <c r="M26" s="285"/>
      <c r="N26" s="285"/>
      <c r="O26" s="285"/>
      <c r="Y26" s="3"/>
      <c r="Z26" s="3"/>
      <c r="AA26" s="3"/>
      <c r="AB26" s="3"/>
      <c r="AC26" s="3"/>
      <c r="AD26" s="3"/>
      <c r="AE26" s="3"/>
      <c r="AF26" s="3"/>
      <c r="AZ26" s="317"/>
      <c r="BA26" s="325"/>
      <c r="BB26" s="326"/>
      <c r="BC26" s="327"/>
      <c r="BD26" s="344"/>
      <c r="BE26" s="347"/>
      <c r="BF26" s="313"/>
    </row>
    <row r="27" spans="10:58" ht="16.149999999999999" customHeight="1">
      <c r="J27" s="285"/>
      <c r="K27" s="285"/>
      <c r="L27" s="285"/>
      <c r="M27" s="285"/>
      <c r="N27" s="285"/>
      <c r="O27" s="285"/>
      <c r="Y27" s="302" t="s">
        <v>9</v>
      </c>
      <c r="Z27" s="302"/>
      <c r="AA27" s="3"/>
      <c r="AB27" s="302" t="s">
        <v>11</v>
      </c>
      <c r="AC27" s="302"/>
      <c r="AD27" s="3"/>
      <c r="AE27" s="302" t="s">
        <v>12</v>
      </c>
      <c r="AF27" s="302"/>
      <c r="AZ27" s="317"/>
      <c r="BA27" s="325"/>
      <c r="BB27" s="326"/>
      <c r="BC27" s="327"/>
      <c r="BD27" s="344"/>
      <c r="BE27" s="347"/>
      <c r="BF27" s="313"/>
    </row>
    <row r="28" spans="10:58" ht="16.149999999999999" customHeight="1">
      <c r="J28" s="285"/>
      <c r="K28" s="285"/>
      <c r="L28" s="285"/>
      <c r="M28" s="285"/>
      <c r="N28" s="285"/>
      <c r="O28" s="285"/>
      <c r="Y28" s="303" t="s">
        <v>10</v>
      </c>
      <c r="Z28" s="303"/>
      <c r="AA28" s="3"/>
      <c r="AB28" s="303" t="s">
        <v>145</v>
      </c>
      <c r="AC28" s="303"/>
      <c r="AD28" s="3"/>
      <c r="AE28" s="334" t="s">
        <v>13</v>
      </c>
      <c r="AF28" s="334"/>
      <c r="AZ28" s="317"/>
      <c r="BA28" s="325"/>
      <c r="BB28" s="326"/>
      <c r="BC28" s="327"/>
      <c r="BD28" s="344"/>
      <c r="BE28" s="347"/>
      <c r="BF28" s="313"/>
    </row>
    <row r="29" spans="10:58" ht="16.149999999999999" customHeight="1">
      <c r="J29" s="285"/>
      <c r="K29" s="285"/>
      <c r="L29" s="285"/>
      <c r="M29" s="285"/>
      <c r="N29" s="285"/>
      <c r="O29" s="285"/>
      <c r="Y29" s="301">
        <f>'Pay Fdo GTO'!C22</f>
        <v>7092776.9678763337</v>
      </c>
      <c r="Z29" s="301"/>
      <c r="AA29" s="3"/>
      <c r="AB29" s="301">
        <f>+'Pay Fdo GTO'!C24</f>
        <v>81013148.252063334</v>
      </c>
      <c r="AC29" s="301"/>
      <c r="AD29" s="3"/>
      <c r="AE29" s="335">
        <f>+Y29-AB29</f>
        <v>-73920371.284187004</v>
      </c>
      <c r="AF29" s="335"/>
      <c r="AZ29" s="317"/>
      <c r="BA29" s="325"/>
      <c r="BB29" s="326"/>
      <c r="BC29" s="327"/>
      <c r="BD29" s="344"/>
      <c r="BE29" s="347"/>
      <c r="BF29" s="313"/>
    </row>
    <row r="30" spans="10:58" ht="16.149999999999999" customHeight="1" thickBot="1">
      <c r="J30" s="285"/>
      <c r="K30" s="285"/>
      <c r="L30" s="285"/>
      <c r="M30" s="285"/>
      <c r="N30" s="285"/>
      <c r="O30" s="285"/>
      <c r="Y30" s="301"/>
      <c r="Z30" s="301"/>
      <c r="AA30" s="3"/>
      <c r="AB30" s="301"/>
      <c r="AC30" s="301"/>
      <c r="AD30" s="3"/>
      <c r="AE30" s="335"/>
      <c r="AF30" s="335"/>
      <c r="AZ30" s="318"/>
      <c r="BA30" s="328"/>
      <c r="BB30" s="329"/>
      <c r="BC30" s="330"/>
      <c r="BD30" s="345"/>
      <c r="BE30" s="348"/>
      <c r="BF30" s="314"/>
    </row>
    <row r="31" spans="10:58" ht="24.75" thickTop="1" thickBot="1">
      <c r="J31" s="285"/>
      <c r="K31" s="285"/>
      <c r="L31" s="285"/>
      <c r="M31" s="285"/>
      <c r="N31" s="285"/>
      <c r="O31" s="285"/>
      <c r="Y31" s="11"/>
      <c r="Z31" s="11"/>
      <c r="AA31" s="3"/>
      <c r="AB31" s="305"/>
      <c r="AC31" s="305"/>
      <c r="AD31" s="3"/>
      <c r="AE31" s="3"/>
      <c r="AF31" s="3"/>
      <c r="BE31" s="17" t="s">
        <v>23</v>
      </c>
      <c r="BF31" s="214">
        <f>+BF15</f>
        <v>14891470.704</v>
      </c>
    </row>
    <row r="32" spans="10:58" ht="18.600000000000001" customHeight="1" thickTop="1" thickBot="1">
      <c r="J32" s="285"/>
      <c r="K32" s="285"/>
      <c r="L32" s="285"/>
      <c r="M32" s="285"/>
      <c r="N32" s="285"/>
      <c r="O32" s="285"/>
      <c r="Y32" s="301">
        <f>+Y29*12</f>
        <v>85113323.614516005</v>
      </c>
      <c r="Z32" s="301"/>
      <c r="AA32" s="3"/>
      <c r="AB32" s="301">
        <f>+AB29*12</f>
        <v>972157779.02476001</v>
      </c>
      <c r="AC32" s="301"/>
      <c r="AD32" s="3"/>
      <c r="AE32" s="333">
        <f>+AE29*12</f>
        <v>-887044455.41024399</v>
      </c>
      <c r="AF32" s="333"/>
      <c r="BE32" s="17" t="s">
        <v>24</v>
      </c>
      <c r="BF32" s="215">
        <f>+BF31*0.16</f>
        <v>2382635.3126400001</v>
      </c>
    </row>
    <row r="33" spans="10:58" ht="24.75" thickTop="1" thickBot="1">
      <c r="J33" s="285"/>
      <c r="K33" s="285"/>
      <c r="L33" s="285"/>
      <c r="M33" s="285"/>
      <c r="N33" s="285"/>
      <c r="O33" s="285"/>
      <c r="Y33" s="165" t="s">
        <v>14</v>
      </c>
      <c r="Z33" s="11"/>
      <c r="AA33" s="3"/>
      <c r="AB33" s="305"/>
      <c r="AC33" s="305"/>
      <c r="AD33" s="3"/>
      <c r="AE33" s="306"/>
      <c r="AF33" s="306"/>
      <c r="BE33" s="18" t="s">
        <v>25</v>
      </c>
      <c r="BF33" s="216">
        <f>+SUM(BF31:BF32)</f>
        <v>17274106.01664</v>
      </c>
    </row>
    <row r="34" spans="10:58" ht="16.149999999999999" customHeight="1" thickTop="1">
      <c r="J34" s="285"/>
      <c r="K34" s="285"/>
      <c r="L34" s="285"/>
      <c r="M34" s="285"/>
      <c r="N34" s="285"/>
      <c r="O34" s="285"/>
      <c r="Z34" s="298" t="s">
        <v>173</v>
      </c>
      <c r="AA34" s="298"/>
      <c r="AB34" s="298"/>
      <c r="AC34" s="298"/>
      <c r="AD34" s="298"/>
      <c r="AE34" s="298"/>
    </row>
    <row r="35" spans="10:58" ht="16.149999999999999" customHeight="1">
      <c r="J35" s="285"/>
      <c r="K35" s="285"/>
      <c r="L35" s="285"/>
      <c r="M35" s="285"/>
      <c r="N35" s="285"/>
      <c r="O35" s="285"/>
      <c r="Z35" s="309" t="s">
        <v>174</v>
      </c>
      <c r="AA35" s="309"/>
      <c r="AB35" s="309"/>
      <c r="AC35" s="309"/>
      <c r="AD35" s="309"/>
      <c r="AE35" s="309"/>
      <c r="AF35" s="16"/>
      <c r="AH35" s="288"/>
      <c r="AI35" s="288"/>
      <c r="BA35" s="20"/>
    </row>
    <row r="36" spans="10:58">
      <c r="J36" s="285"/>
      <c r="K36" s="285"/>
      <c r="L36" s="285"/>
      <c r="M36" s="285"/>
      <c r="N36" s="285"/>
      <c r="O36" s="285"/>
      <c r="Z36" s="309"/>
      <c r="AA36" s="309"/>
      <c r="AB36" s="309"/>
      <c r="AC36" s="309"/>
      <c r="AD36" s="309"/>
      <c r="AE36" s="309"/>
      <c r="AF36" s="16"/>
      <c r="AH36" s="304"/>
      <c r="AI36" s="304"/>
      <c r="BA36" s="20"/>
    </row>
    <row r="37" spans="10:58" ht="36" customHeight="1">
      <c r="J37" s="285"/>
      <c r="K37" s="285"/>
      <c r="L37" s="285"/>
      <c r="M37" s="285"/>
      <c r="N37" s="285"/>
      <c r="O37" s="285"/>
      <c r="Z37" s="308" t="s">
        <v>175</v>
      </c>
      <c r="AA37" s="308"/>
      <c r="AB37" s="308"/>
      <c r="AC37" s="308" t="s">
        <v>15</v>
      </c>
      <c r="AD37" s="308"/>
      <c r="AE37" s="308"/>
      <c r="AF37" s="13"/>
      <c r="AH37" s="304"/>
      <c r="AI37" s="304"/>
      <c r="BA37" s="20"/>
    </row>
    <row r="38" spans="10:58" ht="16.149999999999999" customHeight="1">
      <c r="J38" s="285"/>
      <c r="K38" s="285"/>
      <c r="L38" s="285"/>
      <c r="M38" s="285"/>
      <c r="N38" s="285"/>
      <c r="O38" s="285"/>
      <c r="Z38" s="307">
        <f>'main cash flow'!G29</f>
        <v>31.68024483762078</v>
      </c>
      <c r="AA38" s="307"/>
      <c r="AB38" s="307"/>
      <c r="AC38" s="310">
        <f>'main cash flow'!C21</f>
        <v>0.29422972025336902</v>
      </c>
      <c r="AD38" s="311">
        <v>0.2742</v>
      </c>
      <c r="AE38" s="311"/>
      <c r="AF38" s="15"/>
      <c r="BA38" s="20"/>
    </row>
    <row r="39" spans="10:58" ht="16.149999999999999" customHeight="1">
      <c r="J39" s="285"/>
      <c r="K39" s="285"/>
      <c r="L39" s="285"/>
      <c r="M39" s="285"/>
      <c r="N39" s="285"/>
      <c r="O39" s="285"/>
      <c r="Z39" s="307"/>
      <c r="AA39" s="307"/>
      <c r="AB39" s="307"/>
      <c r="AC39" s="311"/>
      <c r="AD39" s="311"/>
      <c r="AE39" s="311"/>
      <c r="AF39" s="15"/>
      <c r="BA39" s="20"/>
    </row>
    <row r="40" spans="10:58">
      <c r="J40" s="285"/>
      <c r="K40" s="285"/>
      <c r="L40" s="285"/>
      <c r="M40" s="285"/>
      <c r="N40" s="285"/>
      <c r="O40" s="285"/>
      <c r="BA40" s="20"/>
    </row>
    <row r="41" spans="10:58">
      <c r="J41" s="285"/>
      <c r="K41" s="285"/>
      <c r="L41" s="285"/>
      <c r="M41" s="285"/>
      <c r="N41" s="285"/>
      <c r="O41" s="285"/>
      <c r="BA41" s="20"/>
    </row>
    <row r="42" spans="10:58">
      <c r="J42" s="285"/>
      <c r="K42" s="285"/>
      <c r="L42" s="285"/>
      <c r="M42" s="285"/>
      <c r="N42" s="285"/>
      <c r="O42" s="285"/>
      <c r="BA42" s="20"/>
    </row>
    <row r="43" spans="10:58">
      <c r="BA43" s="20"/>
    </row>
    <row r="44" spans="10:58">
      <c r="BA44" s="20"/>
    </row>
    <row r="45" spans="10:58">
      <c r="AQ45" t="s">
        <v>0</v>
      </c>
      <c r="BA45" s="20"/>
    </row>
    <row r="46" spans="10:58">
      <c r="BA46" s="20"/>
    </row>
    <row r="47" spans="10:58">
      <c r="BA47" s="20"/>
    </row>
    <row r="48" spans="10:58">
      <c r="BA48" s="20"/>
    </row>
    <row r="49" spans="23:53">
      <c r="AB49" s="12"/>
      <c r="BA49" s="20"/>
    </row>
    <row r="50" spans="23:53">
      <c r="BA50" s="21"/>
    </row>
    <row r="51" spans="23:53">
      <c r="AB51" s="14"/>
    </row>
    <row r="54" spans="23:53">
      <c r="W54" s="1"/>
      <c r="X54" s="2"/>
      <c r="AF54" s="2"/>
      <c r="AN54" s="2"/>
      <c r="AO54" s="2"/>
      <c r="AP54" s="2"/>
      <c r="AQ54" s="2"/>
      <c r="AR54" s="2"/>
      <c r="AS54" s="2"/>
      <c r="AT54" s="2"/>
      <c r="AU54" s="2"/>
      <c r="AV54" s="2"/>
      <c r="AW54" s="2"/>
      <c r="AX54" s="2"/>
    </row>
    <row r="103" spans="23:50">
      <c r="W103" s="1"/>
      <c r="X103" s="2"/>
      <c r="AF103" s="2"/>
      <c r="AN103" s="2"/>
      <c r="AO103" s="2"/>
      <c r="AP103" s="2"/>
      <c r="AQ103" s="2"/>
      <c r="AR103" s="2"/>
      <c r="AS103" s="2"/>
      <c r="AT103" s="2"/>
      <c r="AU103" s="2"/>
      <c r="AV103" s="2"/>
      <c r="AW103" s="2"/>
      <c r="AX103" s="2"/>
    </row>
  </sheetData>
  <mergeCells count="58">
    <mergeCell ref="BA9:BE10"/>
    <mergeCell ref="AO9:AX10"/>
    <mergeCell ref="AB31:AC31"/>
    <mergeCell ref="AE32:AF32"/>
    <mergeCell ref="AB32:AC32"/>
    <mergeCell ref="AE27:AF27"/>
    <mergeCell ref="AE28:AF28"/>
    <mergeCell ref="AE29:AF30"/>
    <mergeCell ref="Y9:AF10"/>
    <mergeCell ref="AG9:AN10"/>
    <mergeCell ref="AP13:AP14"/>
    <mergeCell ref="AO20:AW20"/>
    <mergeCell ref="AO21:AP21"/>
    <mergeCell ref="AP22:AP23"/>
    <mergeCell ref="BD15:BD30"/>
    <mergeCell ref="BE15:BE30"/>
    <mergeCell ref="BF15:BF30"/>
    <mergeCell ref="BA11:BF12"/>
    <mergeCell ref="AZ15:AZ30"/>
    <mergeCell ref="BA14:BC14"/>
    <mergeCell ref="BA15:BC30"/>
    <mergeCell ref="Z38:AB39"/>
    <mergeCell ref="Z37:AB37"/>
    <mergeCell ref="Z35:AE36"/>
    <mergeCell ref="AC38:AE39"/>
    <mergeCell ref="AC37:AE37"/>
    <mergeCell ref="AB33:AC33"/>
    <mergeCell ref="AE33:AF33"/>
    <mergeCell ref="Y32:Z32"/>
    <mergeCell ref="AH35:AI35"/>
    <mergeCell ref="AH36:AI37"/>
    <mergeCell ref="AE12:AF14"/>
    <mergeCell ref="AE15:AF17"/>
    <mergeCell ref="Y29:Z30"/>
    <mergeCell ref="Y27:Z27"/>
    <mergeCell ref="Y28:Z28"/>
    <mergeCell ref="AB27:AC27"/>
    <mergeCell ref="AB28:AC28"/>
    <mergeCell ref="AB29:AC30"/>
    <mergeCell ref="Y12:Z12"/>
    <mergeCell ref="Y13:Z14"/>
    <mergeCell ref="Y15:Z15"/>
    <mergeCell ref="J6:O42"/>
    <mergeCell ref="Q18:X18"/>
    <mergeCell ref="S10:T10"/>
    <mergeCell ref="AB12:AC12"/>
    <mergeCell ref="AB13:AC14"/>
    <mergeCell ref="AB15:AC15"/>
    <mergeCell ref="R9:X9"/>
    <mergeCell ref="R11:X12"/>
    <mergeCell ref="Q15:R16"/>
    <mergeCell ref="T15:U16"/>
    <mergeCell ref="W15:X16"/>
    <mergeCell ref="Q11:Q12"/>
    <mergeCell ref="Q13:R14"/>
    <mergeCell ref="T13:U14"/>
    <mergeCell ref="W13:X14"/>
    <mergeCell ref="Z34:AE34"/>
  </mergeCells>
  <phoneticPr fontId="66" type="noConversion"/>
  <printOptions horizontalCentered="1" verticalCentered="1"/>
  <pageMargins left="0" right="0" top="0" bottom="0" header="0" footer="0"/>
  <pageSetup scale="70" orientation="portrait" r:id="rId1"/>
  <headerFooter differentFirst="1">
    <oddHeader>&amp;L&amp;G</oddHeader>
    <firstHeader>&amp;L&amp;G</firstHeader>
  </headerFooter>
  <colBreaks count="6" manualBreakCount="6">
    <brk id="8" max="46" man="1"/>
    <brk id="16" max="46" man="1"/>
    <brk id="24" max="46" man="1"/>
    <brk id="32" max="46" man="1"/>
    <brk id="40" max="46" man="1"/>
    <brk id="50" max="46" man="1"/>
  </colBreaks>
  <drawing r:id="rId2"/>
  <legacyDrawingHF r:id="rId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9" workbookViewId="0">
      <selection activeCell="A2" sqref="A2"/>
    </sheetView>
  </sheetViews>
  <sheetFormatPr baseColWidth="10" defaultRowHeight="15.7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19"/>
  <sheetViews>
    <sheetView tabSelected="1" workbookViewId="0">
      <pane xSplit="1" ySplit="3" topLeftCell="B4" activePane="bottomRight" state="frozen"/>
      <selection pane="topRight" activeCell="B1" sqref="B1"/>
      <selection pane="bottomLeft" activeCell="A4" sqref="A4"/>
      <selection pane="bottomRight" activeCell="AG11" sqref="AG11"/>
    </sheetView>
  </sheetViews>
  <sheetFormatPr baseColWidth="10" defaultRowHeight="15.75"/>
  <sheetData>
    <row r="1" spans="1:31">
      <c r="A1" s="154" t="s">
        <v>195</v>
      </c>
      <c r="B1" s="274">
        <v>1</v>
      </c>
      <c r="C1" s="275">
        <v>0.99</v>
      </c>
      <c r="D1" s="276">
        <f t="shared" ref="D1:AE1" ca="1" si="0">C1-$H$5</f>
        <v>0.98585714285714288</v>
      </c>
      <c r="E1" s="276">
        <f t="shared" ca="1" si="0"/>
        <v>0.98171428571428576</v>
      </c>
      <c r="F1" s="276">
        <f t="shared" ca="1" si="0"/>
        <v>0.97757142857142865</v>
      </c>
      <c r="G1" s="276">
        <f t="shared" ca="1" si="0"/>
        <v>0.97342857142857153</v>
      </c>
      <c r="H1" s="276">
        <f t="shared" ca="1" si="0"/>
        <v>0.96928571428571442</v>
      </c>
      <c r="I1" s="276">
        <f t="shared" ca="1" si="0"/>
        <v>0.9651428571428573</v>
      </c>
      <c r="J1" s="276">
        <f t="shared" ca="1" si="0"/>
        <v>0.96100000000000019</v>
      </c>
      <c r="K1" s="276">
        <f t="shared" ca="1" si="0"/>
        <v>0.95685714285714307</v>
      </c>
      <c r="L1" s="276">
        <f t="shared" ca="1" si="0"/>
        <v>0.95271428571428596</v>
      </c>
      <c r="M1" s="276">
        <f t="shared" ca="1" si="0"/>
        <v>0.94857142857142884</v>
      </c>
      <c r="N1" s="276">
        <f t="shared" ca="1" si="0"/>
        <v>0.94442857142857173</v>
      </c>
      <c r="O1" s="276">
        <f t="shared" ca="1" si="0"/>
        <v>0.94028571428571461</v>
      </c>
      <c r="P1" s="276">
        <f t="shared" ca="1" si="0"/>
        <v>0.9361428571428575</v>
      </c>
      <c r="Q1" s="276">
        <f t="shared" ca="1" si="0"/>
        <v>0.93200000000000038</v>
      </c>
      <c r="R1" s="276">
        <f t="shared" ca="1" si="0"/>
        <v>0.92785714285714327</v>
      </c>
      <c r="S1" s="276">
        <f t="shared" ca="1" si="0"/>
        <v>0.92371428571428615</v>
      </c>
      <c r="T1" s="276">
        <f t="shared" ca="1" si="0"/>
        <v>0.91957142857142904</v>
      </c>
      <c r="U1" s="276">
        <f t="shared" ca="1" si="0"/>
        <v>0.91542857142857192</v>
      </c>
      <c r="V1" s="276">
        <f t="shared" ca="1" si="0"/>
        <v>0.91128571428571481</v>
      </c>
      <c r="W1" s="276">
        <f t="shared" ca="1" si="0"/>
        <v>0.90714285714285769</v>
      </c>
      <c r="X1" s="276">
        <f t="shared" ca="1" si="0"/>
        <v>0.90300000000000058</v>
      </c>
      <c r="Y1" s="276">
        <f t="shared" ca="1" si="0"/>
        <v>0.89885714285714347</v>
      </c>
      <c r="Z1" s="276">
        <f t="shared" ca="1" si="0"/>
        <v>0.89471428571428635</v>
      </c>
      <c r="AA1" s="276">
        <f t="shared" ca="1" si="0"/>
        <v>0.89057142857142924</v>
      </c>
      <c r="AB1" s="276">
        <f t="shared" ca="1" si="0"/>
        <v>0.88642857142857212</v>
      </c>
      <c r="AC1" s="276">
        <f t="shared" ca="1" si="0"/>
        <v>0.88228571428571501</v>
      </c>
      <c r="AD1" s="276">
        <f t="shared" ca="1" si="0"/>
        <v>0.87814285714285789</v>
      </c>
      <c r="AE1" s="276">
        <f t="shared" ca="1" si="0"/>
        <v>0.87400000000000078</v>
      </c>
    </row>
    <row r="2" spans="1:31">
      <c r="A2" s="152" t="s">
        <v>57</v>
      </c>
      <c r="B2" s="152" t="s">
        <v>129</v>
      </c>
      <c r="C2" s="275"/>
      <c r="D2" s="275"/>
      <c r="E2" s="275"/>
      <c r="F2" s="275"/>
      <c r="G2" s="275"/>
      <c r="H2" s="275"/>
      <c r="I2" s="275"/>
      <c r="J2" s="275"/>
      <c r="K2" s="275"/>
      <c r="L2" s="275"/>
      <c r="M2" s="275"/>
      <c r="N2" s="275"/>
      <c r="O2" s="275"/>
      <c r="P2" s="275"/>
      <c r="Q2" s="275"/>
      <c r="R2" s="275"/>
      <c r="S2" s="275"/>
      <c r="T2" s="275"/>
      <c r="U2" s="275"/>
      <c r="V2" s="275"/>
      <c r="W2" s="275"/>
      <c r="X2" s="275"/>
      <c r="Y2" s="275"/>
      <c r="Z2" s="275"/>
      <c r="AA2" s="274"/>
      <c r="AB2" s="275"/>
      <c r="AC2" s="275"/>
      <c r="AD2" s="275"/>
      <c r="AE2" s="275"/>
    </row>
    <row r="3" spans="1:31" ht="16.5" thickBot="1">
      <c r="A3" s="275"/>
      <c r="B3" s="153">
        <v>1</v>
      </c>
      <c r="C3" s="153">
        <v>2</v>
      </c>
      <c r="D3" s="153">
        <v>3</v>
      </c>
      <c r="E3" s="153">
        <v>4</v>
      </c>
      <c r="F3" s="153">
        <v>5</v>
      </c>
      <c r="G3" s="153">
        <v>6</v>
      </c>
      <c r="H3" s="153">
        <v>7</v>
      </c>
      <c r="I3" s="153">
        <v>8</v>
      </c>
      <c r="J3" s="153">
        <v>9</v>
      </c>
      <c r="K3" s="153">
        <v>10</v>
      </c>
      <c r="L3" s="153">
        <v>11</v>
      </c>
      <c r="M3" s="153">
        <v>12</v>
      </c>
      <c r="N3" s="153">
        <v>13</v>
      </c>
      <c r="O3" s="153">
        <v>14</v>
      </c>
      <c r="P3" s="153">
        <v>15</v>
      </c>
      <c r="Q3" s="153">
        <v>16</v>
      </c>
      <c r="R3" s="153">
        <v>17</v>
      </c>
      <c r="S3" s="153">
        <v>18</v>
      </c>
      <c r="T3" s="153">
        <v>19</v>
      </c>
      <c r="U3" s="153">
        <v>20</v>
      </c>
      <c r="V3" s="153">
        <v>21</v>
      </c>
      <c r="W3" s="153">
        <v>22</v>
      </c>
      <c r="X3" s="153">
        <v>23</v>
      </c>
      <c r="Y3" s="153">
        <v>24</v>
      </c>
      <c r="Z3" s="153">
        <v>25</v>
      </c>
      <c r="AA3" s="153">
        <v>26</v>
      </c>
      <c r="AB3" s="153">
        <v>27</v>
      </c>
      <c r="AC3" s="153">
        <v>28</v>
      </c>
      <c r="AD3" s="153">
        <v>29</v>
      </c>
      <c r="AE3" s="153">
        <v>30</v>
      </c>
    </row>
    <row r="4" spans="1:31">
      <c r="A4" s="280" t="s">
        <v>132</v>
      </c>
      <c r="B4" s="281">
        <f>'Energy Grid'!K4</f>
        <v>111339.3</v>
      </c>
      <c r="C4" s="277">
        <f ca="1">B4*$L$1</f>
        <v>110225.90700000001</v>
      </c>
      <c r="D4" s="277">
        <f ca="1">B4*D1</f>
        <v>109764.64418571429</v>
      </c>
      <c r="E4" s="277">
        <f ca="1">$K$4*E1</f>
        <v>109303.38137142858</v>
      </c>
      <c r="F4" s="277">
        <f t="shared" ref="F4:AE4" ca="1" si="1">$K$4*F1</f>
        <v>108842.11855714287</v>
      </c>
      <c r="G4" s="277">
        <f t="shared" ca="1" si="1"/>
        <v>108380.85574285715</v>
      </c>
      <c r="H4" s="277">
        <f t="shared" ca="1" si="1"/>
        <v>107919.59292857145</v>
      </c>
      <c r="I4" s="277">
        <f t="shared" ca="1" si="1"/>
        <v>107458.33011428574</v>
      </c>
      <c r="J4" s="277">
        <f t="shared" ca="1" si="1"/>
        <v>106997.06730000002</v>
      </c>
      <c r="K4" s="277">
        <f t="shared" ca="1" si="1"/>
        <v>106535.80448571431</v>
      </c>
      <c r="L4" s="277">
        <f t="shared" ca="1" si="1"/>
        <v>106074.5416714286</v>
      </c>
      <c r="M4" s="277">
        <f t="shared" ca="1" si="1"/>
        <v>105613.2788571429</v>
      </c>
      <c r="N4" s="277">
        <f t="shared" ca="1" si="1"/>
        <v>105152.01604285718</v>
      </c>
      <c r="O4" s="277">
        <f t="shared" ca="1" si="1"/>
        <v>104690.75322857147</v>
      </c>
      <c r="P4" s="277">
        <f t="shared" ca="1" si="1"/>
        <v>104229.49041428576</v>
      </c>
      <c r="Q4" s="277">
        <f t="shared" ca="1" si="1"/>
        <v>103768.22760000004</v>
      </c>
      <c r="R4" s="277">
        <f t="shared" ca="1" si="1"/>
        <v>103306.96478571433</v>
      </c>
      <c r="S4" s="277">
        <f t="shared" ca="1" si="1"/>
        <v>102845.70197142863</v>
      </c>
      <c r="T4" s="277">
        <f t="shared" ca="1" si="1"/>
        <v>102384.43915714292</v>
      </c>
      <c r="U4" s="277">
        <f t="shared" ca="1" si="1"/>
        <v>101923.1763428572</v>
      </c>
      <c r="V4" s="277">
        <f t="shared" ca="1" si="1"/>
        <v>101461.91352857149</v>
      </c>
      <c r="W4" s="277">
        <f t="shared" ca="1" si="1"/>
        <v>101000.65071428577</v>
      </c>
      <c r="X4" s="277">
        <f t="shared" ca="1" si="1"/>
        <v>100539.38790000007</v>
      </c>
      <c r="Y4" s="277">
        <f t="shared" ca="1" si="1"/>
        <v>100078.12508571436</v>
      </c>
      <c r="Z4" s="277">
        <f t="shared" ca="1" si="1"/>
        <v>99616.862271428647</v>
      </c>
      <c r="AA4" s="277">
        <f t="shared" ca="1" si="1"/>
        <v>99155.599457142933</v>
      </c>
      <c r="AB4" s="277">
        <f t="shared" ca="1" si="1"/>
        <v>98694.336642857219</v>
      </c>
      <c r="AC4" s="277">
        <f t="shared" ca="1" si="1"/>
        <v>98233.073828571505</v>
      </c>
      <c r="AD4" s="277">
        <f t="shared" ca="1" si="1"/>
        <v>97771.811014285806</v>
      </c>
      <c r="AE4" s="277">
        <f t="shared" ca="1" si="1"/>
        <v>97310.548200000092</v>
      </c>
    </row>
    <row r="5" spans="1:31">
      <c r="A5" s="282" t="s">
        <v>134</v>
      </c>
      <c r="B5" s="283">
        <f>'Energy Grid'!K5</f>
        <v>117534.9</v>
      </c>
      <c r="C5" s="284">
        <f ca="1">$K$5*C1</f>
        <v>116359.55099999999</v>
      </c>
      <c r="D5" s="284">
        <f t="shared" ref="D5:AE5" ca="1" si="2">$K$5*D1</f>
        <v>115872.6207</v>
      </c>
      <c r="E5" s="284">
        <f t="shared" ca="1" si="2"/>
        <v>115385.69040000001</v>
      </c>
      <c r="F5" s="284">
        <f t="shared" ca="1" si="2"/>
        <v>114898.7601</v>
      </c>
      <c r="G5" s="284">
        <f t="shared" ca="1" si="2"/>
        <v>114411.82980000001</v>
      </c>
      <c r="H5" s="284">
        <f t="shared" ca="1" si="2"/>
        <v>113924.89950000001</v>
      </c>
      <c r="I5" s="284">
        <f t="shared" ca="1" si="2"/>
        <v>113437.96920000001</v>
      </c>
      <c r="J5" s="284">
        <f t="shared" ca="1" si="2"/>
        <v>112951.03890000001</v>
      </c>
      <c r="K5" s="284">
        <f t="shared" ca="1" si="2"/>
        <v>112464.10860000002</v>
      </c>
      <c r="L5" s="284">
        <f t="shared" ca="1" si="2"/>
        <v>111977.17830000003</v>
      </c>
      <c r="M5" s="284">
        <f t="shared" ca="1" si="2"/>
        <v>111490.24800000002</v>
      </c>
      <c r="N5" s="284">
        <f t="shared" ca="1" si="2"/>
        <v>111003.31770000003</v>
      </c>
      <c r="O5" s="284">
        <f t="shared" ca="1" si="2"/>
        <v>110516.38740000004</v>
      </c>
      <c r="P5" s="284">
        <f t="shared" ca="1" si="2"/>
        <v>110029.45710000004</v>
      </c>
      <c r="Q5" s="284">
        <f t="shared" ca="1" si="2"/>
        <v>109542.52680000004</v>
      </c>
      <c r="R5" s="284">
        <f t="shared" ca="1" si="2"/>
        <v>109055.59650000004</v>
      </c>
      <c r="S5" s="284">
        <f t="shared" ca="1" si="2"/>
        <v>108568.66620000005</v>
      </c>
      <c r="T5" s="284">
        <f t="shared" ca="1" si="2"/>
        <v>108081.73590000004</v>
      </c>
      <c r="U5" s="284">
        <f t="shared" ca="1" si="2"/>
        <v>107594.80560000005</v>
      </c>
      <c r="V5" s="284">
        <f t="shared" ca="1" si="2"/>
        <v>107107.87530000006</v>
      </c>
      <c r="W5" s="284">
        <f t="shared" ca="1" si="2"/>
        <v>106620.94500000007</v>
      </c>
      <c r="X5" s="284">
        <f t="shared" ca="1" si="2"/>
        <v>106134.01470000006</v>
      </c>
      <c r="Y5" s="284">
        <f t="shared" ca="1" si="2"/>
        <v>105647.08440000007</v>
      </c>
      <c r="Z5" s="284">
        <f t="shared" ca="1" si="2"/>
        <v>105160.15410000007</v>
      </c>
      <c r="AA5" s="284">
        <f t="shared" ca="1" si="2"/>
        <v>104673.22380000008</v>
      </c>
      <c r="AB5" s="284">
        <f t="shared" ca="1" si="2"/>
        <v>104186.29350000007</v>
      </c>
      <c r="AC5" s="284">
        <f t="shared" ca="1" si="2"/>
        <v>103699.36320000008</v>
      </c>
      <c r="AD5" s="284">
        <f t="shared" ca="1" si="2"/>
        <v>103212.43290000009</v>
      </c>
      <c r="AE5" s="284">
        <f t="shared" ca="1" si="2"/>
        <v>102725.50260000008</v>
      </c>
    </row>
    <row r="6" spans="1:31">
      <c r="A6" s="280" t="s">
        <v>135</v>
      </c>
      <c r="B6" s="281">
        <f>'Energy Grid'!K6</f>
        <v>138881.60000000001</v>
      </c>
      <c r="C6" s="277">
        <f ca="1">$K$6*C1</f>
        <v>137492.78400000001</v>
      </c>
      <c r="D6" s="277">
        <f t="shared" ref="D6:AE6" ca="1" si="3">$K$6*D1</f>
        <v>136917.41737142857</v>
      </c>
      <c r="E6" s="277">
        <f t="shared" ca="1" si="3"/>
        <v>136342.05074285716</v>
      </c>
      <c r="F6" s="277">
        <f t="shared" ca="1" si="3"/>
        <v>135766.68411428574</v>
      </c>
      <c r="G6" s="277">
        <f t="shared" ca="1" si="3"/>
        <v>135191.3174857143</v>
      </c>
      <c r="H6" s="277">
        <f t="shared" ca="1" si="3"/>
        <v>134615.95085714289</v>
      </c>
      <c r="I6" s="277">
        <f t="shared" ca="1" si="3"/>
        <v>134040.58422857145</v>
      </c>
      <c r="J6" s="277">
        <f t="shared" ca="1" si="3"/>
        <v>133465.21760000003</v>
      </c>
      <c r="K6" s="277">
        <f t="shared" ca="1" si="3"/>
        <v>132889.85097142862</v>
      </c>
      <c r="L6" s="277">
        <f t="shared" ca="1" si="3"/>
        <v>132314.48434285718</v>
      </c>
      <c r="M6" s="277">
        <f t="shared" ca="1" si="3"/>
        <v>131739.11771428576</v>
      </c>
      <c r="N6" s="277">
        <f t="shared" ca="1" si="3"/>
        <v>131163.75108571432</v>
      </c>
      <c r="O6" s="277">
        <f t="shared" ca="1" si="3"/>
        <v>130588.38445714291</v>
      </c>
      <c r="P6" s="277">
        <f t="shared" ca="1" si="3"/>
        <v>130013.01782857148</v>
      </c>
      <c r="Q6" s="277">
        <f t="shared" ca="1" si="3"/>
        <v>129437.65120000007</v>
      </c>
      <c r="R6" s="277">
        <f t="shared" ca="1" si="3"/>
        <v>128862.28457142864</v>
      </c>
      <c r="S6" s="277">
        <f t="shared" ca="1" si="3"/>
        <v>128286.91794285721</v>
      </c>
      <c r="T6" s="277">
        <f t="shared" ca="1" si="3"/>
        <v>127711.55131428578</v>
      </c>
      <c r="U6" s="277">
        <f t="shared" ca="1" si="3"/>
        <v>127136.18468571435</v>
      </c>
      <c r="V6" s="277">
        <f t="shared" ca="1" si="3"/>
        <v>126560.81805714294</v>
      </c>
      <c r="W6" s="277">
        <f t="shared" ca="1" si="3"/>
        <v>125985.45142857151</v>
      </c>
      <c r="X6" s="277">
        <f t="shared" ca="1" si="3"/>
        <v>125410.08480000008</v>
      </c>
      <c r="Y6" s="277">
        <f t="shared" ca="1" si="3"/>
        <v>124834.71817142866</v>
      </c>
      <c r="Z6" s="277">
        <f t="shared" ca="1" si="3"/>
        <v>124259.35154285724</v>
      </c>
      <c r="AA6" s="277">
        <f t="shared" ca="1" si="3"/>
        <v>123683.98491428581</v>
      </c>
      <c r="AB6" s="277">
        <f t="shared" ca="1" si="3"/>
        <v>123108.61828571439</v>
      </c>
      <c r="AC6" s="277">
        <f t="shared" ca="1" si="3"/>
        <v>122533.25165714296</v>
      </c>
      <c r="AD6" s="277">
        <f t="shared" ca="1" si="3"/>
        <v>121957.88502857153</v>
      </c>
      <c r="AE6" s="277">
        <f t="shared" ca="1" si="3"/>
        <v>121382.51840000012</v>
      </c>
    </row>
    <row r="7" spans="1:31">
      <c r="A7" s="282" t="s">
        <v>102</v>
      </c>
      <c r="B7" s="283">
        <f>'Energy Grid'!K7</f>
        <v>144419.4</v>
      </c>
      <c r="C7" s="284">
        <f ca="1">$K$7*C1</f>
        <v>142975.20600000001</v>
      </c>
      <c r="D7" s="284">
        <f t="shared" ref="D7:AE7" ca="1" si="4">$K$7*D1</f>
        <v>142376.89705714287</v>
      </c>
      <c r="E7" s="284">
        <f t="shared" ca="1" si="4"/>
        <v>141778.58811428573</v>
      </c>
      <c r="F7" s="284">
        <f t="shared" ca="1" si="4"/>
        <v>141180.27917142858</v>
      </c>
      <c r="G7" s="284">
        <f t="shared" ca="1" si="4"/>
        <v>140581.97022857144</v>
      </c>
      <c r="H7" s="284">
        <f t="shared" ca="1" si="4"/>
        <v>139983.6612857143</v>
      </c>
      <c r="I7" s="284">
        <f t="shared" ca="1" si="4"/>
        <v>139385.35234285716</v>
      </c>
      <c r="J7" s="284">
        <f t="shared" ca="1" si="4"/>
        <v>138787.04340000002</v>
      </c>
      <c r="K7" s="284">
        <f t="shared" ca="1" si="4"/>
        <v>138188.73445714288</v>
      </c>
      <c r="L7" s="284">
        <f t="shared" ca="1" si="4"/>
        <v>137590.42551428574</v>
      </c>
      <c r="M7" s="284">
        <f t="shared" ca="1" si="4"/>
        <v>136992.1165714286</v>
      </c>
      <c r="N7" s="284">
        <f t="shared" ca="1" si="4"/>
        <v>136393.80762857146</v>
      </c>
      <c r="O7" s="284">
        <f t="shared" ca="1" si="4"/>
        <v>135795.49868571432</v>
      </c>
      <c r="P7" s="284">
        <f t="shared" ca="1" si="4"/>
        <v>135197.18974285718</v>
      </c>
      <c r="Q7" s="284">
        <f t="shared" ca="1" si="4"/>
        <v>134598.88080000004</v>
      </c>
      <c r="R7" s="284">
        <f t="shared" ca="1" si="4"/>
        <v>134000.5718571429</v>
      </c>
      <c r="S7" s="284">
        <f t="shared" ca="1" si="4"/>
        <v>133402.26291428576</v>
      </c>
      <c r="T7" s="284">
        <f t="shared" ca="1" si="4"/>
        <v>132803.95397142862</v>
      </c>
      <c r="U7" s="284">
        <f t="shared" ca="1" si="4"/>
        <v>132205.64502857148</v>
      </c>
      <c r="V7" s="284">
        <f t="shared" ca="1" si="4"/>
        <v>131607.33608571434</v>
      </c>
      <c r="W7" s="284">
        <f t="shared" ca="1" si="4"/>
        <v>131009.02714285722</v>
      </c>
      <c r="X7" s="284">
        <f t="shared" ca="1" si="4"/>
        <v>130410.71820000008</v>
      </c>
      <c r="Y7" s="284">
        <f t="shared" ca="1" si="4"/>
        <v>129812.40925714294</v>
      </c>
      <c r="Z7" s="284">
        <f t="shared" ca="1" si="4"/>
        <v>129214.1003142858</v>
      </c>
      <c r="AA7" s="284">
        <f t="shared" ca="1" si="4"/>
        <v>128615.79137142866</v>
      </c>
      <c r="AB7" s="284">
        <f t="shared" ca="1" si="4"/>
        <v>128017.48242857153</v>
      </c>
      <c r="AC7" s="284">
        <f t="shared" ca="1" si="4"/>
        <v>127419.17348571439</v>
      </c>
      <c r="AD7" s="284">
        <f t="shared" ca="1" si="4"/>
        <v>126820.86454285725</v>
      </c>
      <c r="AE7" s="284">
        <f t="shared" ca="1" si="4"/>
        <v>126222.55560000011</v>
      </c>
    </row>
    <row r="8" spans="1:31">
      <c r="A8" s="280" t="s">
        <v>103</v>
      </c>
      <c r="B8" s="281">
        <f>'Energy Grid'!K8</f>
        <v>135918.20000000001</v>
      </c>
      <c r="C8" s="277">
        <f ca="1">$K$8*C1</f>
        <v>134559.01800000001</v>
      </c>
      <c r="D8" s="277">
        <f t="shared" ref="D8:AE8" ca="1" si="5">$K$8*D1</f>
        <v>133995.92831428573</v>
      </c>
      <c r="E8" s="277">
        <f t="shared" ca="1" si="5"/>
        <v>133432.83862857145</v>
      </c>
      <c r="F8" s="277">
        <f t="shared" ca="1" si="5"/>
        <v>132869.74894285717</v>
      </c>
      <c r="G8" s="277">
        <f t="shared" ca="1" si="5"/>
        <v>132306.65925714289</v>
      </c>
      <c r="H8" s="277">
        <f t="shared" ca="1" si="5"/>
        <v>131743.56957142861</v>
      </c>
      <c r="I8" s="277">
        <f t="shared" ca="1" si="5"/>
        <v>131180.47988571433</v>
      </c>
      <c r="J8" s="277">
        <f t="shared" ca="1" si="5"/>
        <v>130617.39020000004</v>
      </c>
      <c r="K8" s="277">
        <f t="shared" ca="1" si="5"/>
        <v>130054.30051428576</v>
      </c>
      <c r="L8" s="277">
        <f t="shared" ca="1" si="5"/>
        <v>129491.21082857148</v>
      </c>
      <c r="M8" s="277">
        <f t="shared" ca="1" si="5"/>
        <v>128928.12114285718</v>
      </c>
      <c r="N8" s="277">
        <f t="shared" ca="1" si="5"/>
        <v>128365.0314571429</v>
      </c>
      <c r="O8" s="277">
        <f t="shared" ca="1" si="5"/>
        <v>127801.94177142862</v>
      </c>
      <c r="P8" s="277">
        <f t="shared" ca="1" si="5"/>
        <v>127238.85208571434</v>
      </c>
      <c r="Q8" s="277">
        <f t="shared" ca="1" si="5"/>
        <v>126675.76240000007</v>
      </c>
      <c r="R8" s="277">
        <f t="shared" ca="1" si="5"/>
        <v>126112.67271428579</v>
      </c>
      <c r="S8" s="277">
        <f t="shared" ca="1" si="5"/>
        <v>125549.58302857151</v>
      </c>
      <c r="T8" s="277">
        <f t="shared" ca="1" si="5"/>
        <v>124986.49334285721</v>
      </c>
      <c r="U8" s="277">
        <f t="shared" ca="1" si="5"/>
        <v>124423.40365714293</v>
      </c>
      <c r="V8" s="277">
        <f t="shared" ca="1" si="5"/>
        <v>123860.31397142865</v>
      </c>
      <c r="W8" s="277">
        <f t="shared" ca="1" si="5"/>
        <v>123297.22428571437</v>
      </c>
      <c r="X8" s="277">
        <f t="shared" ca="1" si="5"/>
        <v>122734.13460000009</v>
      </c>
      <c r="Y8" s="277">
        <f t="shared" ca="1" si="5"/>
        <v>122171.04491428581</v>
      </c>
      <c r="Z8" s="277">
        <f t="shared" ca="1" si="5"/>
        <v>121607.95522857153</v>
      </c>
      <c r="AA8" s="277">
        <f t="shared" ca="1" si="5"/>
        <v>121044.86554285724</v>
      </c>
      <c r="AB8" s="277">
        <f t="shared" ca="1" si="5"/>
        <v>120481.77585714296</v>
      </c>
      <c r="AC8" s="277">
        <f t="shared" ca="1" si="5"/>
        <v>119918.68617142868</v>
      </c>
      <c r="AD8" s="277">
        <f t="shared" ca="1" si="5"/>
        <v>119355.5964857144</v>
      </c>
      <c r="AE8" s="277">
        <f t="shared" ca="1" si="5"/>
        <v>118792.50680000012</v>
      </c>
    </row>
    <row r="9" spans="1:31">
      <c r="A9" s="282" t="s">
        <v>104</v>
      </c>
      <c r="B9" s="283">
        <f>'Energy Grid'!K9</f>
        <v>145828.70000000001</v>
      </c>
      <c r="C9" s="284">
        <f ca="1">$K$9*C1</f>
        <v>144370.413</v>
      </c>
      <c r="D9" s="284">
        <f t="shared" ref="D9:AE9" ca="1" si="6">$K$9*D1</f>
        <v>143766.26552857144</v>
      </c>
      <c r="E9" s="284">
        <f t="shared" ca="1" si="6"/>
        <v>143162.11805714288</v>
      </c>
      <c r="F9" s="284">
        <f t="shared" ca="1" si="6"/>
        <v>142557.9705857143</v>
      </c>
      <c r="G9" s="284">
        <f t="shared" ca="1" si="6"/>
        <v>141953.82311428574</v>
      </c>
      <c r="H9" s="284">
        <f t="shared" ca="1" si="6"/>
        <v>141349.67564285718</v>
      </c>
      <c r="I9" s="284">
        <f t="shared" ca="1" si="6"/>
        <v>140745.5281714286</v>
      </c>
      <c r="J9" s="284">
        <f t="shared" ca="1" si="6"/>
        <v>140141.38070000004</v>
      </c>
      <c r="K9" s="284">
        <f t="shared" ca="1" si="6"/>
        <v>139537.23322857148</v>
      </c>
      <c r="L9" s="284">
        <f t="shared" ca="1" si="6"/>
        <v>138933.08575714289</v>
      </c>
      <c r="M9" s="284">
        <f t="shared" ca="1" si="6"/>
        <v>138328.93828571434</v>
      </c>
      <c r="N9" s="284">
        <f t="shared" ca="1" si="6"/>
        <v>137724.79081428578</v>
      </c>
      <c r="O9" s="284">
        <f t="shared" ca="1" si="6"/>
        <v>137120.64334285719</v>
      </c>
      <c r="P9" s="284">
        <f t="shared" ca="1" si="6"/>
        <v>136516.49587142863</v>
      </c>
      <c r="Q9" s="284">
        <f t="shared" ca="1" si="6"/>
        <v>135912.34840000008</v>
      </c>
      <c r="R9" s="284">
        <f t="shared" ca="1" si="6"/>
        <v>135308.20092857149</v>
      </c>
      <c r="S9" s="284">
        <f t="shared" ca="1" si="6"/>
        <v>134704.05345714293</v>
      </c>
      <c r="T9" s="284">
        <f t="shared" ca="1" si="6"/>
        <v>134099.90598571437</v>
      </c>
      <c r="U9" s="284">
        <f t="shared" ca="1" si="6"/>
        <v>133495.75851428579</v>
      </c>
      <c r="V9" s="284">
        <f t="shared" ca="1" si="6"/>
        <v>132891.61104285723</v>
      </c>
      <c r="W9" s="284">
        <f t="shared" ca="1" si="6"/>
        <v>132287.46357142867</v>
      </c>
      <c r="X9" s="284">
        <f t="shared" ca="1" si="6"/>
        <v>131683.31610000008</v>
      </c>
      <c r="Y9" s="284">
        <f t="shared" ca="1" si="6"/>
        <v>131079.16862857153</v>
      </c>
      <c r="Z9" s="284">
        <f t="shared" ca="1" si="6"/>
        <v>130475.02115714295</v>
      </c>
      <c r="AA9" s="284">
        <f t="shared" ca="1" si="6"/>
        <v>129870.8736857144</v>
      </c>
      <c r="AB9" s="284">
        <f t="shared" ca="1" si="6"/>
        <v>129266.72621428582</v>
      </c>
      <c r="AC9" s="284">
        <f t="shared" ca="1" si="6"/>
        <v>128662.57874285725</v>
      </c>
      <c r="AD9" s="284">
        <f t="shared" ca="1" si="6"/>
        <v>128058.43127142869</v>
      </c>
      <c r="AE9" s="284">
        <f t="shared" ca="1" si="6"/>
        <v>127454.28380000012</v>
      </c>
    </row>
    <row r="10" spans="1:31">
      <c r="A10" s="280" t="s">
        <v>105</v>
      </c>
      <c r="B10" s="281">
        <f>'Energy Grid'!K10</f>
        <v>146832.9</v>
      </c>
      <c r="C10" s="277">
        <f ca="1">$K$10*C1</f>
        <v>145364.571</v>
      </c>
      <c r="D10" s="277">
        <f t="shared" ref="D10:AE10" ca="1" si="7">$K$10*D1</f>
        <v>144756.26327142856</v>
      </c>
      <c r="E10" s="277">
        <f t="shared" ca="1" si="7"/>
        <v>144147.95554285715</v>
      </c>
      <c r="F10" s="277">
        <f t="shared" ca="1" si="7"/>
        <v>143539.64781428571</v>
      </c>
      <c r="G10" s="277">
        <f t="shared" ca="1" si="7"/>
        <v>142931.3400857143</v>
      </c>
      <c r="H10" s="277">
        <f t="shared" ca="1" si="7"/>
        <v>142323.03235714286</v>
      </c>
      <c r="I10" s="277">
        <f t="shared" ca="1" si="7"/>
        <v>141714.72462857145</v>
      </c>
      <c r="J10" s="277">
        <f t="shared" ca="1" si="7"/>
        <v>141106.41690000001</v>
      </c>
      <c r="K10" s="277">
        <f t="shared" ca="1" si="7"/>
        <v>140498.1091714286</v>
      </c>
      <c r="L10" s="277">
        <f t="shared" ca="1" si="7"/>
        <v>139889.80144285716</v>
      </c>
      <c r="M10" s="277">
        <f t="shared" ca="1" si="7"/>
        <v>139281.49371428575</v>
      </c>
      <c r="N10" s="277">
        <f t="shared" ca="1" si="7"/>
        <v>138673.18598571431</v>
      </c>
      <c r="O10" s="277">
        <f t="shared" ca="1" si="7"/>
        <v>138064.8782571429</v>
      </c>
      <c r="P10" s="277">
        <f t="shared" ca="1" si="7"/>
        <v>137456.57052857146</v>
      </c>
      <c r="Q10" s="277">
        <f t="shared" ca="1" si="7"/>
        <v>136848.26280000005</v>
      </c>
      <c r="R10" s="277">
        <f t="shared" ca="1" si="7"/>
        <v>136239.95507142862</v>
      </c>
      <c r="S10" s="277">
        <f t="shared" ca="1" si="7"/>
        <v>135631.64734285721</v>
      </c>
      <c r="T10" s="277">
        <f t="shared" ca="1" si="7"/>
        <v>135023.33961428577</v>
      </c>
      <c r="U10" s="277">
        <f t="shared" ca="1" si="7"/>
        <v>134415.03188571436</v>
      </c>
      <c r="V10" s="277">
        <f t="shared" ca="1" si="7"/>
        <v>133806.72415714292</v>
      </c>
      <c r="W10" s="277">
        <f t="shared" ca="1" si="7"/>
        <v>133198.41642857151</v>
      </c>
      <c r="X10" s="277">
        <f t="shared" ca="1" si="7"/>
        <v>132590.10870000007</v>
      </c>
      <c r="Y10" s="277">
        <f t="shared" ca="1" si="7"/>
        <v>131981.80097142866</v>
      </c>
      <c r="Z10" s="277">
        <f t="shared" ca="1" si="7"/>
        <v>131373.49324285722</v>
      </c>
      <c r="AA10" s="277">
        <f t="shared" ca="1" si="7"/>
        <v>130765.18551428581</v>
      </c>
      <c r="AB10" s="277">
        <f t="shared" ca="1" si="7"/>
        <v>130156.87778571439</v>
      </c>
      <c r="AC10" s="277">
        <f t="shared" ca="1" si="7"/>
        <v>129548.57005714296</v>
      </c>
      <c r="AD10" s="277">
        <f t="shared" ca="1" si="7"/>
        <v>128940.26232857154</v>
      </c>
      <c r="AE10" s="277">
        <f t="shared" ca="1" si="7"/>
        <v>128331.95460000011</v>
      </c>
    </row>
    <row r="11" spans="1:31">
      <c r="A11" s="282" t="s">
        <v>106</v>
      </c>
      <c r="B11" s="283">
        <f>'Energy Grid'!K11</f>
        <v>156810.20000000001</v>
      </c>
      <c r="C11" s="284">
        <f ca="1">$K$11*C1</f>
        <v>155242.098</v>
      </c>
      <c r="D11" s="284">
        <f t="shared" ref="D11:AE11" ca="1" si="8">$K$11*D1</f>
        <v>154592.45574285716</v>
      </c>
      <c r="E11" s="284">
        <f t="shared" ca="1" si="8"/>
        <v>153942.81348571432</v>
      </c>
      <c r="F11" s="284">
        <f t="shared" ca="1" si="8"/>
        <v>153293.17122857145</v>
      </c>
      <c r="G11" s="284">
        <f t="shared" ca="1" si="8"/>
        <v>152643.5289714286</v>
      </c>
      <c r="H11" s="284">
        <f t="shared" ca="1" si="8"/>
        <v>151993.88671428573</v>
      </c>
      <c r="I11" s="284">
        <f t="shared" ca="1" si="8"/>
        <v>151344.24445714289</v>
      </c>
      <c r="J11" s="284">
        <f t="shared" ca="1" si="8"/>
        <v>150694.60220000005</v>
      </c>
      <c r="K11" s="284">
        <f t="shared" ca="1" si="8"/>
        <v>150044.95994285718</v>
      </c>
      <c r="L11" s="284">
        <f t="shared" ca="1" si="8"/>
        <v>149395.31768571434</v>
      </c>
      <c r="M11" s="284">
        <f t="shared" ca="1" si="8"/>
        <v>148745.67542857147</v>
      </c>
      <c r="N11" s="284">
        <f t="shared" ca="1" si="8"/>
        <v>148096.03317142863</v>
      </c>
      <c r="O11" s="284">
        <f t="shared" ca="1" si="8"/>
        <v>147446.39091428579</v>
      </c>
      <c r="P11" s="284">
        <f t="shared" ca="1" si="8"/>
        <v>146796.74865714292</v>
      </c>
      <c r="Q11" s="284">
        <f t="shared" ca="1" si="8"/>
        <v>146147.10640000008</v>
      </c>
      <c r="R11" s="284">
        <f t="shared" ca="1" si="8"/>
        <v>145497.46414285721</v>
      </c>
      <c r="S11" s="284">
        <f t="shared" ca="1" si="8"/>
        <v>144847.82188571437</v>
      </c>
      <c r="T11" s="284">
        <f t="shared" ca="1" si="8"/>
        <v>144198.17962857152</v>
      </c>
      <c r="U11" s="284">
        <f t="shared" ca="1" si="8"/>
        <v>143548.53737142865</v>
      </c>
      <c r="V11" s="284">
        <f t="shared" ca="1" si="8"/>
        <v>142898.89511428581</v>
      </c>
      <c r="W11" s="284">
        <f t="shared" ca="1" si="8"/>
        <v>142249.25285714294</v>
      </c>
      <c r="X11" s="284">
        <f t="shared" ca="1" si="8"/>
        <v>141599.6106000001</v>
      </c>
      <c r="Y11" s="284">
        <f t="shared" ca="1" si="8"/>
        <v>140949.96834285726</v>
      </c>
      <c r="Z11" s="284">
        <f t="shared" ca="1" si="8"/>
        <v>140300.32608571439</v>
      </c>
      <c r="AA11" s="284">
        <f t="shared" ca="1" si="8"/>
        <v>139650.68382857155</v>
      </c>
      <c r="AB11" s="284">
        <f t="shared" ca="1" si="8"/>
        <v>139001.04157142868</v>
      </c>
      <c r="AC11" s="284">
        <f t="shared" ca="1" si="8"/>
        <v>138351.39931428584</v>
      </c>
      <c r="AD11" s="284">
        <f t="shared" ca="1" si="8"/>
        <v>137701.757057143</v>
      </c>
      <c r="AE11" s="284">
        <f t="shared" ca="1" si="8"/>
        <v>137052.11480000013</v>
      </c>
    </row>
    <row r="12" spans="1:31">
      <c r="A12" s="280" t="s">
        <v>107</v>
      </c>
      <c r="B12" s="281">
        <f>'Energy Grid'!K12</f>
        <v>131912.79999999999</v>
      </c>
      <c r="C12" s="277">
        <f ca="1">$K$12*C1</f>
        <v>130593.67199999999</v>
      </c>
      <c r="D12" s="277">
        <f t="shared" ref="D12:AE12" ca="1" si="9">$K$12*D1</f>
        <v>130047.1761142857</v>
      </c>
      <c r="E12" s="277">
        <f t="shared" ca="1" si="9"/>
        <v>129500.68022857142</v>
      </c>
      <c r="F12" s="277">
        <f t="shared" ca="1" si="9"/>
        <v>128954.18434285714</v>
      </c>
      <c r="G12" s="277">
        <f t="shared" ca="1" si="9"/>
        <v>128407.68845714285</v>
      </c>
      <c r="H12" s="277">
        <f t="shared" ca="1" si="9"/>
        <v>127861.19257142858</v>
      </c>
      <c r="I12" s="277">
        <f t="shared" ca="1" si="9"/>
        <v>127314.6966857143</v>
      </c>
      <c r="J12" s="277">
        <f t="shared" ca="1" si="9"/>
        <v>126768.20080000002</v>
      </c>
      <c r="K12" s="277">
        <f t="shared" ca="1" si="9"/>
        <v>126221.70491428573</v>
      </c>
      <c r="L12" s="277">
        <f t="shared" ca="1" si="9"/>
        <v>125675.20902857145</v>
      </c>
      <c r="M12" s="277">
        <f t="shared" ca="1" si="9"/>
        <v>125128.71314285717</v>
      </c>
      <c r="N12" s="277">
        <f t="shared" ca="1" si="9"/>
        <v>124582.21725714288</v>
      </c>
      <c r="O12" s="277">
        <f t="shared" ca="1" si="9"/>
        <v>124035.7213714286</v>
      </c>
      <c r="P12" s="277">
        <f t="shared" ca="1" si="9"/>
        <v>123489.22548571433</v>
      </c>
      <c r="Q12" s="277">
        <f t="shared" ca="1" si="9"/>
        <v>122942.72960000004</v>
      </c>
      <c r="R12" s="277">
        <f t="shared" ca="1" si="9"/>
        <v>122396.23371428576</v>
      </c>
      <c r="S12" s="277">
        <f t="shared" ca="1" si="9"/>
        <v>121849.73782857148</v>
      </c>
      <c r="T12" s="277">
        <f t="shared" ca="1" si="9"/>
        <v>121303.24194285719</v>
      </c>
      <c r="U12" s="277">
        <f t="shared" ca="1" si="9"/>
        <v>120756.74605714291</v>
      </c>
      <c r="V12" s="277">
        <f t="shared" ca="1" si="9"/>
        <v>120210.25017142863</v>
      </c>
      <c r="W12" s="277">
        <f t="shared" ca="1" si="9"/>
        <v>119663.75428571434</v>
      </c>
      <c r="X12" s="277">
        <f t="shared" ca="1" si="9"/>
        <v>119117.25840000006</v>
      </c>
      <c r="Y12" s="277">
        <f t="shared" ca="1" si="9"/>
        <v>118570.76251428579</v>
      </c>
      <c r="Z12" s="277">
        <f t="shared" ca="1" si="9"/>
        <v>118024.26662857149</v>
      </c>
      <c r="AA12" s="277">
        <f t="shared" ca="1" si="9"/>
        <v>117477.77074285722</v>
      </c>
      <c r="AB12" s="277">
        <f t="shared" ca="1" si="9"/>
        <v>116931.27485714294</v>
      </c>
      <c r="AC12" s="277">
        <f t="shared" ca="1" si="9"/>
        <v>116384.77897142866</v>
      </c>
      <c r="AD12" s="277">
        <f t="shared" ca="1" si="9"/>
        <v>115838.28308571437</v>
      </c>
      <c r="AE12" s="277">
        <f t="shared" ca="1" si="9"/>
        <v>115291.78720000009</v>
      </c>
    </row>
    <row r="13" spans="1:31">
      <c r="A13" s="282" t="s">
        <v>108</v>
      </c>
      <c r="B13" s="283">
        <f>'Energy Grid'!K13</f>
        <v>128600.5</v>
      </c>
      <c r="C13" s="284">
        <f ca="1">$K$13*C1</f>
        <v>127314.495</v>
      </c>
      <c r="D13" s="284">
        <f t="shared" ref="D13:AE13" ca="1" si="10">$K$13*D1</f>
        <v>126781.7215</v>
      </c>
      <c r="E13" s="284">
        <f t="shared" ca="1" si="10"/>
        <v>126248.948</v>
      </c>
      <c r="F13" s="284">
        <f t="shared" ca="1" si="10"/>
        <v>125716.17450000001</v>
      </c>
      <c r="G13" s="284">
        <f t="shared" ca="1" si="10"/>
        <v>125183.40100000001</v>
      </c>
      <c r="H13" s="284">
        <f t="shared" ca="1" si="10"/>
        <v>124650.62750000002</v>
      </c>
      <c r="I13" s="284">
        <f t="shared" ca="1" si="10"/>
        <v>124117.85400000002</v>
      </c>
      <c r="J13" s="284">
        <f t="shared" ca="1" si="10"/>
        <v>123585.08050000003</v>
      </c>
      <c r="K13" s="284">
        <f t="shared" ca="1" si="10"/>
        <v>123052.30700000003</v>
      </c>
      <c r="L13" s="284">
        <f t="shared" ca="1" si="10"/>
        <v>122519.53350000003</v>
      </c>
      <c r="M13" s="284">
        <f t="shared" ca="1" si="10"/>
        <v>121986.76000000004</v>
      </c>
      <c r="N13" s="284">
        <f t="shared" ca="1" si="10"/>
        <v>121453.98650000004</v>
      </c>
      <c r="O13" s="284">
        <f t="shared" ca="1" si="10"/>
        <v>120921.21300000005</v>
      </c>
      <c r="P13" s="284">
        <f t="shared" ca="1" si="10"/>
        <v>120388.43950000005</v>
      </c>
      <c r="Q13" s="284">
        <f t="shared" ca="1" si="10"/>
        <v>119855.66600000006</v>
      </c>
      <c r="R13" s="284">
        <f t="shared" ca="1" si="10"/>
        <v>119322.89250000006</v>
      </c>
      <c r="S13" s="284">
        <f t="shared" ca="1" si="10"/>
        <v>118790.11900000005</v>
      </c>
      <c r="T13" s="284">
        <f t="shared" ca="1" si="10"/>
        <v>118257.34550000005</v>
      </c>
      <c r="U13" s="284">
        <f t="shared" ca="1" si="10"/>
        <v>117724.57200000006</v>
      </c>
      <c r="V13" s="284">
        <f t="shared" ca="1" si="10"/>
        <v>117191.79850000006</v>
      </c>
      <c r="W13" s="284">
        <f t="shared" ca="1" si="10"/>
        <v>116659.02500000007</v>
      </c>
      <c r="X13" s="284">
        <f t="shared" ca="1" si="10"/>
        <v>116126.25150000007</v>
      </c>
      <c r="Y13" s="284">
        <f t="shared" ca="1" si="10"/>
        <v>115593.47800000008</v>
      </c>
      <c r="Z13" s="284">
        <f t="shared" ca="1" si="10"/>
        <v>115060.70450000008</v>
      </c>
      <c r="AA13" s="284">
        <f t="shared" ca="1" si="10"/>
        <v>114527.93100000008</v>
      </c>
      <c r="AB13" s="284">
        <f t="shared" ca="1" si="10"/>
        <v>113995.15750000009</v>
      </c>
      <c r="AC13" s="284">
        <f t="shared" ca="1" si="10"/>
        <v>113462.38400000009</v>
      </c>
      <c r="AD13" s="284">
        <f t="shared" ca="1" si="10"/>
        <v>112929.6105000001</v>
      </c>
      <c r="AE13" s="284">
        <f t="shared" ca="1" si="10"/>
        <v>112396.8370000001</v>
      </c>
    </row>
    <row r="14" spans="1:31">
      <c r="A14" s="280" t="s">
        <v>109</v>
      </c>
      <c r="B14" s="281">
        <f>'Energy Grid'!K14</f>
        <v>105277.4</v>
      </c>
      <c r="C14" s="277">
        <f ca="1">$K$14*C1</f>
        <v>104224.62599999999</v>
      </c>
      <c r="D14" s="277">
        <f t="shared" ref="D14:AE14" ca="1" si="11">$K$14*D1</f>
        <v>103788.47677142857</v>
      </c>
      <c r="E14" s="277">
        <f t="shared" ca="1" si="11"/>
        <v>103352.32754285714</v>
      </c>
      <c r="F14" s="277">
        <f t="shared" ca="1" si="11"/>
        <v>102916.17831428572</v>
      </c>
      <c r="G14" s="277">
        <f t="shared" ca="1" si="11"/>
        <v>102480.0290857143</v>
      </c>
      <c r="H14" s="277">
        <f t="shared" ca="1" si="11"/>
        <v>102043.87985714286</v>
      </c>
      <c r="I14" s="277">
        <f t="shared" ca="1" si="11"/>
        <v>101607.73062857144</v>
      </c>
      <c r="J14" s="277">
        <f t="shared" ca="1" si="11"/>
        <v>101171.58140000001</v>
      </c>
      <c r="K14" s="277">
        <f t="shared" ca="1" si="11"/>
        <v>100735.43217142859</v>
      </c>
      <c r="L14" s="277">
        <f t="shared" ca="1" si="11"/>
        <v>100299.28294285716</v>
      </c>
      <c r="M14" s="277">
        <f t="shared" ca="1" si="11"/>
        <v>99863.133714285737</v>
      </c>
      <c r="N14" s="277">
        <f t="shared" ca="1" si="11"/>
        <v>99426.984485714318</v>
      </c>
      <c r="O14" s="277">
        <f t="shared" ca="1" si="11"/>
        <v>98990.835257142884</v>
      </c>
      <c r="P14" s="277">
        <f t="shared" ca="1" si="11"/>
        <v>98554.686028571465</v>
      </c>
      <c r="Q14" s="277">
        <f t="shared" ca="1" si="11"/>
        <v>98118.536800000031</v>
      </c>
      <c r="R14" s="277">
        <f t="shared" ca="1" si="11"/>
        <v>97682.387571428611</v>
      </c>
      <c r="S14" s="277">
        <f t="shared" ca="1" si="11"/>
        <v>97246.238342857177</v>
      </c>
      <c r="T14" s="277">
        <f t="shared" ca="1" si="11"/>
        <v>96810.089114285758</v>
      </c>
      <c r="U14" s="277">
        <f t="shared" ca="1" si="11"/>
        <v>96373.939885714339</v>
      </c>
      <c r="V14" s="277">
        <f t="shared" ca="1" si="11"/>
        <v>95937.790657142905</v>
      </c>
      <c r="W14" s="277">
        <f t="shared" ca="1" si="11"/>
        <v>95501.641428571485</v>
      </c>
      <c r="X14" s="277">
        <f t="shared" ca="1" si="11"/>
        <v>95065.492200000052</v>
      </c>
      <c r="Y14" s="277">
        <f t="shared" ca="1" si="11"/>
        <v>94629.342971428632</v>
      </c>
      <c r="Z14" s="277">
        <f t="shared" ca="1" si="11"/>
        <v>94193.193742857198</v>
      </c>
      <c r="AA14" s="277">
        <f t="shared" ca="1" si="11"/>
        <v>93757.044514285779</v>
      </c>
      <c r="AB14" s="277">
        <f t="shared" ca="1" si="11"/>
        <v>93320.895285714359</v>
      </c>
      <c r="AC14" s="277">
        <f t="shared" ca="1" si="11"/>
        <v>92884.746057142926</v>
      </c>
      <c r="AD14" s="277">
        <f t="shared" ca="1" si="11"/>
        <v>92448.596828571506</v>
      </c>
      <c r="AE14" s="277">
        <f t="shared" ca="1" si="11"/>
        <v>92012.447600000072</v>
      </c>
    </row>
    <row r="15" spans="1:31">
      <c r="A15" s="282" t="s">
        <v>110</v>
      </c>
      <c r="B15" s="283">
        <f>'Energy Grid'!K15</f>
        <v>100891.4</v>
      </c>
      <c r="C15" s="284">
        <f ca="1">$K$15*C1</f>
        <v>99882.48599999999</v>
      </c>
      <c r="D15" s="284">
        <f t="shared" ref="D15:AE15" ca="1" si="12">$K$15*D1</f>
        <v>99464.507342857134</v>
      </c>
      <c r="E15" s="284">
        <f t="shared" ca="1" si="12"/>
        <v>99046.528685714278</v>
      </c>
      <c r="F15" s="284">
        <f t="shared" ca="1" si="12"/>
        <v>98628.550028571437</v>
      </c>
      <c r="G15" s="284">
        <f t="shared" ca="1" si="12"/>
        <v>98210.571371428581</v>
      </c>
      <c r="H15" s="284">
        <f t="shared" ca="1" si="12"/>
        <v>97792.592714285725</v>
      </c>
      <c r="I15" s="284">
        <f t="shared" ca="1" si="12"/>
        <v>97374.61405714287</v>
      </c>
      <c r="J15" s="284">
        <f t="shared" ca="1" si="12"/>
        <v>96956.635400000014</v>
      </c>
      <c r="K15" s="284">
        <f t="shared" ca="1" si="12"/>
        <v>96538.656742857158</v>
      </c>
      <c r="L15" s="284">
        <f t="shared" ca="1" si="12"/>
        <v>96120.678085714302</v>
      </c>
      <c r="M15" s="284">
        <f t="shared" ca="1" si="12"/>
        <v>95702.699428571446</v>
      </c>
      <c r="N15" s="284">
        <f t="shared" ca="1" si="12"/>
        <v>95284.720771428591</v>
      </c>
      <c r="O15" s="284">
        <f t="shared" ca="1" si="12"/>
        <v>94866.742114285735</v>
      </c>
      <c r="P15" s="284">
        <f t="shared" ca="1" si="12"/>
        <v>94448.763457142893</v>
      </c>
      <c r="Q15" s="284">
        <f t="shared" ca="1" si="12"/>
        <v>94030.784800000038</v>
      </c>
      <c r="R15" s="284">
        <f t="shared" ca="1" si="12"/>
        <v>93612.806142857182</v>
      </c>
      <c r="S15" s="284">
        <f t="shared" ca="1" si="12"/>
        <v>93194.827485714326</v>
      </c>
      <c r="T15" s="284">
        <f t="shared" ca="1" si="12"/>
        <v>92776.84882857147</v>
      </c>
      <c r="U15" s="284">
        <f t="shared" ca="1" si="12"/>
        <v>92358.870171428614</v>
      </c>
      <c r="V15" s="284">
        <f t="shared" ca="1" si="12"/>
        <v>91940.891514285759</v>
      </c>
      <c r="W15" s="284">
        <f t="shared" ca="1" si="12"/>
        <v>91522.912857142903</v>
      </c>
      <c r="X15" s="284">
        <f t="shared" ca="1" si="12"/>
        <v>91104.934200000047</v>
      </c>
      <c r="Y15" s="284">
        <f t="shared" ca="1" si="12"/>
        <v>90686.955542857206</v>
      </c>
      <c r="Z15" s="284">
        <f t="shared" ca="1" si="12"/>
        <v>90268.97688571435</v>
      </c>
      <c r="AA15" s="284">
        <f t="shared" ca="1" si="12"/>
        <v>89850.998228571494</v>
      </c>
      <c r="AB15" s="284">
        <f t="shared" ca="1" si="12"/>
        <v>89433.019571428638</v>
      </c>
      <c r="AC15" s="284">
        <f t="shared" ca="1" si="12"/>
        <v>89015.040914285782</v>
      </c>
      <c r="AD15" s="284">
        <f t="shared" ca="1" si="12"/>
        <v>88597.062257142927</v>
      </c>
      <c r="AE15" s="284">
        <f t="shared" ca="1" si="12"/>
        <v>88179.083600000071</v>
      </c>
    </row>
    <row r="16" spans="1:31" ht="16.5" thickBot="1">
      <c r="A16" s="156" t="s">
        <v>136</v>
      </c>
      <c r="B16" s="157">
        <f>SUM(B4:B15)</f>
        <v>1564247.3</v>
      </c>
      <c r="C16" s="157">
        <f t="shared" ref="C16:AE16" ca="1" si="13">SUM(C4:C15)</f>
        <v>1548604.8269999998</v>
      </c>
      <c r="D16" s="157">
        <f t="shared" ca="1" si="13"/>
        <v>1542124.3738999998</v>
      </c>
      <c r="E16" s="157">
        <f t="shared" ca="1" si="13"/>
        <v>1535643.9208000002</v>
      </c>
      <c r="F16" s="157">
        <f t="shared" ca="1" si="13"/>
        <v>1529163.4677000004</v>
      </c>
      <c r="G16" s="157">
        <f t="shared" ca="1" si="13"/>
        <v>1522683.0146000003</v>
      </c>
      <c r="H16" s="157">
        <f t="shared" ca="1" si="13"/>
        <v>1516202.5615000003</v>
      </c>
      <c r="I16" s="157">
        <f t="shared" ca="1" si="13"/>
        <v>1509722.1084000003</v>
      </c>
      <c r="J16" s="157">
        <f t="shared" ca="1" si="13"/>
        <v>1503241.6553000002</v>
      </c>
      <c r="K16" s="157">
        <f t="shared" ca="1" si="13"/>
        <v>1496761.2022000004</v>
      </c>
      <c r="L16" s="157">
        <f t="shared" ca="1" si="13"/>
        <v>1490280.7491000004</v>
      </c>
      <c r="M16" s="157">
        <f t="shared" ca="1" si="13"/>
        <v>1483800.2960000003</v>
      </c>
      <c r="N16" s="157">
        <f t="shared" ca="1" si="13"/>
        <v>1477319.8429000005</v>
      </c>
      <c r="O16" s="157">
        <f t="shared" ca="1" si="13"/>
        <v>1470839.3898000002</v>
      </c>
      <c r="P16" s="157">
        <f t="shared" ca="1" si="13"/>
        <v>1464358.9367000009</v>
      </c>
      <c r="Q16" s="157">
        <f t="shared" ca="1" si="13"/>
        <v>1457878.4836000004</v>
      </c>
      <c r="R16" s="157">
        <f t="shared" ca="1" si="13"/>
        <v>1451398.0305000008</v>
      </c>
      <c r="S16" s="157">
        <f t="shared" ca="1" si="13"/>
        <v>1444917.5774000008</v>
      </c>
      <c r="T16" s="157">
        <f t="shared" ca="1" si="13"/>
        <v>1438437.1243000007</v>
      </c>
      <c r="U16" s="157">
        <f t="shared" ca="1" si="13"/>
        <v>1431956.6712000009</v>
      </c>
      <c r="V16" s="157">
        <f t="shared" ca="1" si="13"/>
        <v>1425476.2181000006</v>
      </c>
      <c r="W16" s="157">
        <f t="shared" ca="1" si="13"/>
        <v>1418995.7650000008</v>
      </c>
      <c r="X16" s="157">
        <f t="shared" ca="1" si="13"/>
        <v>1412515.3119000008</v>
      </c>
      <c r="Y16" s="157">
        <f t="shared" ca="1" si="13"/>
        <v>1406034.858800001</v>
      </c>
      <c r="Z16" s="157">
        <f t="shared" ca="1" si="13"/>
        <v>1399554.4057000007</v>
      </c>
      <c r="AA16" s="157">
        <f t="shared" ca="1" si="13"/>
        <v>1393073.9526000014</v>
      </c>
      <c r="AB16" s="157">
        <f t="shared" ca="1" si="13"/>
        <v>1386593.4995000013</v>
      </c>
      <c r="AC16" s="157">
        <f t="shared" ca="1" si="13"/>
        <v>1380113.046400001</v>
      </c>
      <c r="AD16" s="157">
        <f t="shared" ca="1" si="13"/>
        <v>1373632.5933000015</v>
      </c>
      <c r="AE16" s="157">
        <f t="shared" ca="1" si="13"/>
        <v>1367152.140200001</v>
      </c>
    </row>
    <row r="17" spans="1:31" ht="16.5" thickTop="1">
      <c r="A17" s="275" t="s">
        <v>192</v>
      </c>
      <c r="B17" s="110">
        <f>0.9*B16</f>
        <v>1407822.57</v>
      </c>
      <c r="C17" s="110">
        <f t="shared" ref="C17:AE17" ca="1" si="14">0.9*C16</f>
        <v>1393744.3442999998</v>
      </c>
      <c r="D17" s="110">
        <f t="shared" ca="1" si="14"/>
        <v>1387911.9365099999</v>
      </c>
      <c r="E17" s="110">
        <f t="shared" ca="1" si="14"/>
        <v>1382079.5287200003</v>
      </c>
      <c r="F17" s="110">
        <f t="shared" ca="1" si="14"/>
        <v>1376247.1209300004</v>
      </c>
      <c r="G17" s="110">
        <f t="shared" ca="1" si="14"/>
        <v>1370414.7131400004</v>
      </c>
      <c r="H17" s="110">
        <f t="shared" ca="1" si="14"/>
        <v>1364582.3053500003</v>
      </c>
      <c r="I17" s="110">
        <f t="shared" ca="1" si="14"/>
        <v>1358749.8975600002</v>
      </c>
      <c r="J17" s="110">
        <f t="shared" ca="1" si="14"/>
        <v>1352917.4897700003</v>
      </c>
      <c r="K17" s="110">
        <f t="shared" ca="1" si="14"/>
        <v>1347085.0819800005</v>
      </c>
      <c r="L17" s="110">
        <f t="shared" ca="1" si="14"/>
        <v>1341252.6741900004</v>
      </c>
      <c r="M17" s="110">
        <f t="shared" ca="1" si="14"/>
        <v>1335420.2664000003</v>
      </c>
      <c r="N17" s="110">
        <f t="shared" ca="1" si="14"/>
        <v>1329587.8586100005</v>
      </c>
      <c r="O17" s="110">
        <f t="shared" ca="1" si="14"/>
        <v>1323755.4508200001</v>
      </c>
      <c r="P17" s="110">
        <f t="shared" ca="1" si="14"/>
        <v>1317923.0430300008</v>
      </c>
      <c r="Q17" s="110">
        <f t="shared" ca="1" si="14"/>
        <v>1312090.6352400004</v>
      </c>
      <c r="R17" s="110">
        <f t="shared" ca="1" si="14"/>
        <v>1306258.2274500008</v>
      </c>
      <c r="S17" s="110">
        <f t="shared" ca="1" si="14"/>
        <v>1300425.8196600007</v>
      </c>
      <c r="T17" s="110">
        <f t="shared" ca="1" si="14"/>
        <v>1294593.4118700007</v>
      </c>
      <c r="U17" s="110">
        <f t="shared" ca="1" si="14"/>
        <v>1288761.0040800008</v>
      </c>
      <c r="V17" s="110">
        <f t="shared" ca="1" si="14"/>
        <v>1282928.5962900007</v>
      </c>
      <c r="W17" s="110">
        <f t="shared" ca="1" si="14"/>
        <v>1277096.1885000009</v>
      </c>
      <c r="X17" s="110">
        <f t="shared" ca="1" si="14"/>
        <v>1271263.7807100008</v>
      </c>
      <c r="Y17" s="110">
        <f t="shared" ca="1" si="14"/>
        <v>1265431.3729200009</v>
      </c>
      <c r="Z17" s="110">
        <f t="shared" ca="1" si="14"/>
        <v>1259598.9651300006</v>
      </c>
      <c r="AA17" s="110">
        <f t="shared" ca="1" si="14"/>
        <v>1253766.5573400012</v>
      </c>
      <c r="AB17" s="110">
        <f t="shared" ca="1" si="14"/>
        <v>1247934.1495500011</v>
      </c>
      <c r="AC17" s="110">
        <f t="shared" ca="1" si="14"/>
        <v>1242101.7417600011</v>
      </c>
      <c r="AD17" s="110">
        <f t="shared" ca="1" si="14"/>
        <v>1236269.3339700014</v>
      </c>
      <c r="AE17" s="110">
        <f t="shared" ca="1" si="14"/>
        <v>1230436.9261800009</v>
      </c>
    </row>
    <row r="18" spans="1:31">
      <c r="A18" s="278" t="s">
        <v>193</v>
      </c>
      <c r="B18" s="279">
        <f>0.8*B16</f>
        <v>1251397.8400000001</v>
      </c>
      <c r="C18" s="279">
        <f t="shared" ref="C18:AE18" ca="1" si="15">0.8*C16</f>
        <v>1238883.8615999999</v>
      </c>
      <c r="D18" s="279">
        <f t="shared" ca="1" si="15"/>
        <v>1233699.4991199998</v>
      </c>
      <c r="E18" s="279">
        <f t="shared" ca="1" si="15"/>
        <v>1228515.1366400002</v>
      </c>
      <c r="F18" s="279">
        <f t="shared" ca="1" si="15"/>
        <v>1223330.7741600003</v>
      </c>
      <c r="G18" s="279">
        <f t="shared" ca="1" si="15"/>
        <v>1218146.4116800004</v>
      </c>
      <c r="H18" s="279">
        <f t="shared" ca="1" si="15"/>
        <v>1212962.0492000002</v>
      </c>
      <c r="I18" s="279">
        <f t="shared" ca="1" si="15"/>
        <v>1207777.6867200003</v>
      </c>
      <c r="J18" s="279">
        <f t="shared" ca="1" si="15"/>
        <v>1202593.3242400002</v>
      </c>
      <c r="K18" s="279">
        <f t="shared" ca="1" si="15"/>
        <v>1197408.9617600003</v>
      </c>
      <c r="L18" s="279">
        <f t="shared" ca="1" si="15"/>
        <v>1192224.5992800004</v>
      </c>
      <c r="M18" s="279">
        <f t="shared" ca="1" si="15"/>
        <v>1187040.2368000003</v>
      </c>
      <c r="N18" s="279">
        <f t="shared" ca="1" si="15"/>
        <v>1181855.8743200004</v>
      </c>
      <c r="O18" s="279">
        <f t="shared" ca="1" si="15"/>
        <v>1176671.5118400003</v>
      </c>
      <c r="P18" s="279">
        <f t="shared" ca="1" si="15"/>
        <v>1171487.1493600009</v>
      </c>
      <c r="Q18" s="279">
        <f t="shared" ca="1" si="15"/>
        <v>1166302.7868800003</v>
      </c>
      <c r="R18" s="279">
        <f t="shared" ca="1" si="15"/>
        <v>1161118.4244000006</v>
      </c>
      <c r="S18" s="279">
        <f t="shared" ca="1" si="15"/>
        <v>1155934.0619200007</v>
      </c>
      <c r="T18" s="279">
        <f t="shared" ca="1" si="15"/>
        <v>1150749.6994400006</v>
      </c>
      <c r="U18" s="279">
        <f t="shared" ca="1" si="15"/>
        <v>1145565.3369600007</v>
      </c>
      <c r="V18" s="279">
        <f t="shared" ca="1" si="15"/>
        <v>1140380.9744800006</v>
      </c>
      <c r="W18" s="279">
        <f t="shared" ca="1" si="15"/>
        <v>1135196.6120000007</v>
      </c>
      <c r="X18" s="279">
        <f t="shared" ca="1" si="15"/>
        <v>1130012.2495200008</v>
      </c>
      <c r="Y18" s="279">
        <f t="shared" ca="1" si="15"/>
        <v>1124827.8870400009</v>
      </c>
      <c r="Z18" s="279">
        <f t="shared" ca="1" si="15"/>
        <v>1119643.5245600005</v>
      </c>
      <c r="AA18" s="279">
        <f t="shared" ca="1" si="15"/>
        <v>1114459.1620800011</v>
      </c>
      <c r="AB18" s="279">
        <f t="shared" ca="1" si="15"/>
        <v>1109274.7996000012</v>
      </c>
      <c r="AC18" s="279">
        <f t="shared" ca="1" si="15"/>
        <v>1104090.4371200008</v>
      </c>
      <c r="AD18" s="279">
        <f t="shared" ca="1" si="15"/>
        <v>1098906.0746400012</v>
      </c>
      <c r="AE18" s="279">
        <f t="shared" ca="1" si="15"/>
        <v>1093721.7121600008</v>
      </c>
    </row>
    <row r="19" spans="1:31">
      <c r="A19" s="275" t="s">
        <v>194</v>
      </c>
      <c r="B19" s="110">
        <f>0.7*B16</f>
        <v>1094973.1099999999</v>
      </c>
      <c r="C19" s="110">
        <f t="shared" ref="C19:AE19" ca="1" si="16">0.7*C16</f>
        <v>1084023.3788999999</v>
      </c>
      <c r="D19" s="110">
        <f t="shared" ca="1" si="16"/>
        <v>1079487.0617299997</v>
      </c>
      <c r="E19" s="110">
        <f t="shared" ca="1" si="16"/>
        <v>1074950.74456</v>
      </c>
      <c r="F19" s="110">
        <f t="shared" ca="1" si="16"/>
        <v>1070414.4273900003</v>
      </c>
      <c r="G19" s="110">
        <f t="shared" ca="1" si="16"/>
        <v>1065878.1102200001</v>
      </c>
      <c r="H19" s="110">
        <f t="shared" ca="1" si="16"/>
        <v>1061341.7930500002</v>
      </c>
      <c r="I19" s="110">
        <f t="shared" ca="1" si="16"/>
        <v>1056805.47588</v>
      </c>
      <c r="J19" s="110">
        <f t="shared" ca="1" si="16"/>
        <v>1052269.1587100001</v>
      </c>
      <c r="K19" s="110">
        <f t="shared" ca="1" si="16"/>
        <v>1047732.8415400002</v>
      </c>
      <c r="L19" s="110">
        <f t="shared" ca="1" si="16"/>
        <v>1043196.5243700002</v>
      </c>
      <c r="M19" s="110">
        <f t="shared" ca="1" si="16"/>
        <v>1038660.2072000002</v>
      </c>
      <c r="N19" s="110">
        <f t="shared" ca="1" si="16"/>
        <v>1034123.8900300002</v>
      </c>
      <c r="O19" s="110">
        <f t="shared" ca="1" si="16"/>
        <v>1029587.5728600001</v>
      </c>
      <c r="P19" s="110">
        <f t="shared" ca="1" si="16"/>
        <v>1025051.2556900006</v>
      </c>
      <c r="Q19" s="110">
        <f t="shared" ca="1" si="16"/>
        <v>1020514.9385200002</v>
      </c>
      <c r="R19" s="110">
        <f t="shared" ca="1" si="16"/>
        <v>1015978.6213500005</v>
      </c>
      <c r="S19" s="110">
        <f t="shared" ca="1" si="16"/>
        <v>1011442.3041800004</v>
      </c>
      <c r="T19" s="110">
        <f t="shared" ca="1" si="16"/>
        <v>1006905.9870100004</v>
      </c>
      <c r="U19" s="110">
        <f t="shared" ca="1" si="16"/>
        <v>1002369.6698400006</v>
      </c>
      <c r="V19" s="110">
        <f t="shared" ca="1" si="16"/>
        <v>997833.3526700004</v>
      </c>
      <c r="W19" s="110">
        <f t="shared" ca="1" si="16"/>
        <v>993297.03550000046</v>
      </c>
      <c r="X19" s="110">
        <f t="shared" ca="1" si="16"/>
        <v>988760.71833000053</v>
      </c>
      <c r="Y19" s="110">
        <f t="shared" ca="1" si="16"/>
        <v>984224.40116000059</v>
      </c>
      <c r="Z19" s="110">
        <f t="shared" ca="1" si="16"/>
        <v>979688.08399000042</v>
      </c>
      <c r="AA19" s="110">
        <f t="shared" ca="1" si="16"/>
        <v>975151.76682000083</v>
      </c>
      <c r="AB19" s="110">
        <f t="shared" ca="1" si="16"/>
        <v>970615.4496500009</v>
      </c>
      <c r="AC19" s="110">
        <f t="shared" ca="1" si="16"/>
        <v>966079.13248000061</v>
      </c>
      <c r="AD19" s="110">
        <f t="shared" ca="1" si="16"/>
        <v>961542.81531000091</v>
      </c>
      <c r="AE19" s="110">
        <f t="shared" ca="1" si="16"/>
        <v>957006.49814000062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40" zoomScaleNormal="40" workbookViewId="0">
      <selection activeCell="AA38" sqref="AA38"/>
    </sheetView>
  </sheetViews>
  <sheetFormatPr baseColWidth="10" defaultRowHeight="15.75"/>
  <sheetData/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3"/>
  <sheetViews>
    <sheetView zoomScale="80" zoomScaleNormal="80" workbookViewId="0">
      <selection activeCell="B2" sqref="B2"/>
    </sheetView>
  </sheetViews>
  <sheetFormatPr baseColWidth="10" defaultRowHeight="15.75"/>
  <cols>
    <col min="1" max="1" width="12.625" bestFit="1" customWidth="1"/>
    <col min="2" max="2" width="16.125" bestFit="1" customWidth="1"/>
    <col min="3" max="3" width="18.125" bestFit="1" customWidth="1"/>
    <col min="4" max="4" width="13.625" style="44" bestFit="1" customWidth="1"/>
    <col min="5" max="5" width="12.625" style="44" bestFit="1" customWidth="1"/>
    <col min="6" max="9" width="13.625" style="44" bestFit="1" customWidth="1"/>
    <col min="10" max="12" width="12.875" style="44" bestFit="1" customWidth="1"/>
    <col min="13" max="13" width="14.375" style="44" bestFit="1" customWidth="1"/>
    <col min="14" max="23" width="14.375" bestFit="1" customWidth="1"/>
    <col min="24" max="27" width="12.5" bestFit="1" customWidth="1"/>
    <col min="28" max="28" width="13.125" bestFit="1" customWidth="1"/>
  </cols>
  <sheetData>
    <row r="1" spans="1:31" s="30" customFormat="1" ht="12.75">
      <c r="A1" s="349" t="s">
        <v>27</v>
      </c>
      <c r="B1" s="23">
        <f>EPC!B4</f>
        <v>860520</v>
      </c>
      <c r="C1" s="24" t="s">
        <v>28</v>
      </c>
      <c r="D1" s="25">
        <v>1</v>
      </c>
      <c r="E1" s="25">
        <v>2</v>
      </c>
      <c r="F1" s="25">
        <v>3</v>
      </c>
      <c r="G1" s="25">
        <v>4</v>
      </c>
      <c r="H1" s="25">
        <v>5</v>
      </c>
      <c r="I1" s="25">
        <v>6</v>
      </c>
      <c r="J1" s="25">
        <v>7</v>
      </c>
      <c r="K1" s="25">
        <v>8</v>
      </c>
      <c r="L1" s="25">
        <v>9</v>
      </c>
      <c r="M1" s="25">
        <v>10</v>
      </c>
      <c r="N1" s="26">
        <v>11</v>
      </c>
      <c r="O1" s="26">
        <v>12</v>
      </c>
      <c r="P1" s="26">
        <v>13</v>
      </c>
      <c r="Q1" s="26">
        <v>14</v>
      </c>
      <c r="R1" s="26">
        <v>15</v>
      </c>
      <c r="S1" s="26">
        <v>16</v>
      </c>
      <c r="T1" s="26">
        <v>17</v>
      </c>
      <c r="U1" s="26">
        <v>18</v>
      </c>
      <c r="V1" s="26">
        <v>19</v>
      </c>
      <c r="W1" s="26">
        <v>20</v>
      </c>
      <c r="X1" s="26">
        <v>21</v>
      </c>
      <c r="Y1" s="26">
        <v>22</v>
      </c>
      <c r="Z1" s="26">
        <v>23</v>
      </c>
      <c r="AA1" s="26">
        <v>24</v>
      </c>
      <c r="AB1" s="26">
        <v>25</v>
      </c>
      <c r="AC1" s="27"/>
      <c r="AD1" s="28" t="s">
        <v>29</v>
      </c>
      <c r="AE1" s="29">
        <v>18.809999999999999</v>
      </c>
    </row>
    <row r="2" spans="1:31" s="30" customFormat="1" ht="13.5" thickBot="1">
      <c r="A2" s="349"/>
      <c r="B2" s="31">
        <v>0.92</v>
      </c>
      <c r="C2" s="32" t="s">
        <v>30</v>
      </c>
      <c r="D2" s="33">
        <v>2025</v>
      </c>
      <c r="E2" s="33">
        <v>2026</v>
      </c>
      <c r="F2" s="33">
        <v>2027</v>
      </c>
      <c r="G2" s="33">
        <v>2028</v>
      </c>
      <c r="H2" s="33">
        <v>2029</v>
      </c>
      <c r="I2" s="33">
        <v>2030</v>
      </c>
      <c r="J2" s="33">
        <v>2031</v>
      </c>
      <c r="K2" s="33">
        <v>2032</v>
      </c>
      <c r="L2" s="33">
        <v>2033</v>
      </c>
      <c r="M2" s="33">
        <v>2034</v>
      </c>
      <c r="N2" s="33">
        <v>2032</v>
      </c>
      <c r="O2" s="33">
        <v>2033</v>
      </c>
      <c r="P2" s="33">
        <v>2034</v>
      </c>
      <c r="Q2" s="33">
        <v>2035</v>
      </c>
      <c r="R2" s="33">
        <v>2036</v>
      </c>
      <c r="S2" s="33">
        <v>2037</v>
      </c>
      <c r="T2" s="33">
        <v>2038</v>
      </c>
      <c r="U2" s="33">
        <v>2039</v>
      </c>
      <c r="V2" s="33">
        <v>2040</v>
      </c>
      <c r="W2" s="33">
        <v>2041</v>
      </c>
      <c r="X2" s="33">
        <v>2042</v>
      </c>
      <c r="Y2" s="33">
        <v>2043</v>
      </c>
      <c r="Z2" s="33">
        <v>2044</v>
      </c>
      <c r="AA2" s="33">
        <v>2045</v>
      </c>
      <c r="AB2" s="33">
        <v>2046</v>
      </c>
      <c r="AC2" s="34"/>
      <c r="AD2" s="35" t="s">
        <v>31</v>
      </c>
      <c r="AE2" s="30">
        <v>250.66</v>
      </c>
    </row>
    <row r="3" spans="1:31" ht="16.5" thickTop="1">
      <c r="A3" s="36"/>
      <c r="B3" s="37">
        <f>SUM(D3:AB3)</f>
        <v>36942158.092400007</v>
      </c>
      <c r="C3" s="38"/>
      <c r="D3" s="39">
        <f>'Energy Grid'!K16</f>
        <v>1564247.3</v>
      </c>
      <c r="E3" s="39">
        <f>'Energy Grid'!L16</f>
        <v>1548604.8269999998</v>
      </c>
      <c r="F3" s="39">
        <f>'Energy Grid'!M16</f>
        <v>1542124.3738999998</v>
      </c>
      <c r="G3" s="39">
        <f>'Energy Grid'!N16</f>
        <v>1535643.9208000002</v>
      </c>
      <c r="H3" s="39">
        <f>'Energy Grid'!O16</f>
        <v>1529163.4677000004</v>
      </c>
      <c r="I3" s="39">
        <f>'Energy Grid'!P16</f>
        <v>1522683.0146000003</v>
      </c>
      <c r="J3" s="39">
        <f>'Energy Grid'!Q16</f>
        <v>1516202.5615000003</v>
      </c>
      <c r="K3" s="39">
        <f>'Energy Grid'!R16</f>
        <v>1509722.1084000003</v>
      </c>
      <c r="L3" s="39">
        <f>'Energy Grid'!S16</f>
        <v>1503241.6553000002</v>
      </c>
      <c r="M3" s="39">
        <f>'Energy Grid'!T16</f>
        <v>1496761.2022000004</v>
      </c>
      <c r="N3" s="39">
        <f>'Energy Grid'!U16</f>
        <v>1490280.7491000004</v>
      </c>
      <c r="O3" s="39">
        <f>'Energy Grid'!V16</f>
        <v>1483800.2960000003</v>
      </c>
      <c r="P3" s="39">
        <f>'Energy Grid'!W16</f>
        <v>1477319.8429000005</v>
      </c>
      <c r="Q3" s="39">
        <f>'Energy Grid'!X16</f>
        <v>1470839.3898000002</v>
      </c>
      <c r="R3" s="39">
        <f>'Energy Grid'!Y16</f>
        <v>1464358.9367000009</v>
      </c>
      <c r="S3" s="39">
        <f>'Energy Grid'!Z16</f>
        <v>1457878.4836000004</v>
      </c>
      <c r="T3" s="39">
        <f>'Energy Grid'!AA16</f>
        <v>1451398.0305000008</v>
      </c>
      <c r="U3" s="39">
        <f>'Energy Grid'!AB16</f>
        <v>1444917.5774000008</v>
      </c>
      <c r="V3" s="39">
        <f>'Energy Grid'!AC16</f>
        <v>1438437.1243000007</v>
      </c>
      <c r="W3" s="39">
        <f>'Energy Grid'!AD16</f>
        <v>1431956.6712000009</v>
      </c>
      <c r="X3" s="39">
        <f>'Energy Grid'!AE16</f>
        <v>1425476.2181000006</v>
      </c>
      <c r="Y3" s="39">
        <f>'Energy Grid'!AF16</f>
        <v>1418995.7650000008</v>
      </c>
      <c r="Z3" s="39">
        <f>'Energy Grid'!AG16</f>
        <v>1412515.3119000008</v>
      </c>
      <c r="AA3" s="39">
        <f>'Energy Grid'!AH16</f>
        <v>1406034.858800001</v>
      </c>
      <c r="AB3" s="39">
        <f>'Energy Grid'!AI16</f>
        <v>1399554.4057000007</v>
      </c>
      <c r="AD3" s="30" t="s">
        <v>32</v>
      </c>
      <c r="AE3" s="40">
        <v>4.4999999999999998E-2</v>
      </c>
    </row>
    <row r="4" spans="1:31">
      <c r="A4" s="41" t="s">
        <v>33</v>
      </c>
      <c r="B4" s="42">
        <f>'PPA proposal'!E17</f>
        <v>2.2575916666666669</v>
      </c>
      <c r="C4" s="43" t="s">
        <v>34</v>
      </c>
    </row>
    <row r="5" spans="1:31">
      <c r="A5" s="45" t="s">
        <v>35</v>
      </c>
      <c r="B5" s="41"/>
      <c r="C5" s="43" t="s">
        <v>34</v>
      </c>
      <c r="D5" s="46">
        <f>B4</f>
        <v>2.2575916666666669</v>
      </c>
      <c r="E5" s="46">
        <f t="shared" ref="E5:AB5" si="0">(1+INPC)*D5</f>
        <v>2.3591832916666666</v>
      </c>
      <c r="F5" s="46">
        <f t="shared" si="0"/>
        <v>2.4653465397916663</v>
      </c>
      <c r="G5" s="46">
        <f t="shared" si="0"/>
        <v>2.5762871340822913</v>
      </c>
      <c r="H5" s="46">
        <f t="shared" si="0"/>
        <v>2.6922200551159943</v>
      </c>
      <c r="I5" s="46">
        <f t="shared" si="0"/>
        <v>2.8133699575962137</v>
      </c>
      <c r="J5" s="46">
        <f t="shared" si="0"/>
        <v>2.9399716056880432</v>
      </c>
      <c r="K5" s="46">
        <f t="shared" si="0"/>
        <v>3.0722703279440049</v>
      </c>
      <c r="L5" s="46">
        <f t="shared" si="0"/>
        <v>3.210522492701485</v>
      </c>
      <c r="M5" s="46">
        <f t="shared" si="0"/>
        <v>3.3549960048730516</v>
      </c>
      <c r="N5" s="47">
        <f t="shared" si="0"/>
        <v>3.5059708250923385</v>
      </c>
      <c r="O5" s="47">
        <f t="shared" si="0"/>
        <v>3.6637395122214933</v>
      </c>
      <c r="P5" s="47">
        <f t="shared" si="0"/>
        <v>3.8286077902714601</v>
      </c>
      <c r="Q5" s="47">
        <f t="shared" si="0"/>
        <v>4.0008951408336753</v>
      </c>
      <c r="R5" s="47">
        <f t="shared" si="0"/>
        <v>4.1809354221711903</v>
      </c>
      <c r="S5" s="47">
        <f t="shared" si="0"/>
        <v>4.3690775161688933</v>
      </c>
      <c r="T5" s="47">
        <f t="shared" si="0"/>
        <v>4.5656860043964933</v>
      </c>
      <c r="U5" s="47">
        <f t="shared" si="0"/>
        <v>4.7711418745943348</v>
      </c>
      <c r="V5" s="47">
        <f t="shared" si="0"/>
        <v>4.9858432589510793</v>
      </c>
      <c r="W5" s="47">
        <f t="shared" si="0"/>
        <v>5.2102062056038774</v>
      </c>
      <c r="X5" s="47">
        <f t="shared" si="0"/>
        <v>5.4446654848560518</v>
      </c>
      <c r="Y5" s="47">
        <f t="shared" si="0"/>
        <v>5.6896754316745737</v>
      </c>
      <c r="Z5" s="47">
        <f t="shared" si="0"/>
        <v>5.945710826099929</v>
      </c>
      <c r="AA5" s="47">
        <f t="shared" si="0"/>
        <v>6.2132678132744257</v>
      </c>
      <c r="AB5" s="47">
        <f t="shared" si="0"/>
        <v>6.4928648648717742</v>
      </c>
    </row>
    <row r="6" spans="1:31">
      <c r="A6" s="30"/>
      <c r="B6" s="30"/>
      <c r="D6"/>
      <c r="E6"/>
      <c r="F6"/>
      <c r="G6"/>
      <c r="H6"/>
      <c r="I6"/>
      <c r="J6"/>
      <c r="K6"/>
      <c r="L6"/>
      <c r="M6"/>
    </row>
    <row r="7" spans="1:31">
      <c r="A7" s="30"/>
      <c r="B7" s="30"/>
      <c r="C7" s="30"/>
      <c r="E7" s="48"/>
    </row>
    <row r="8" spans="1:31">
      <c r="A8" s="350" t="s">
        <v>36</v>
      </c>
      <c r="B8" s="351"/>
      <c r="C8" s="43" t="s">
        <v>34</v>
      </c>
      <c r="D8" s="49">
        <f>D5*D3</f>
        <v>3531431.6690858337</v>
      </c>
      <c r="E8" s="49">
        <f t="shared" ref="E8:AB8" si="1">E5*E3</f>
        <v>3653442.6332527483</v>
      </c>
      <c r="F8" s="49">
        <f t="shared" si="1"/>
        <v>3801870.9891227544</v>
      </c>
      <c r="G8" s="49">
        <f t="shared" si="1"/>
        <v>3956259.6756887254</v>
      </c>
      <c r="H8" s="49">
        <f t="shared" si="1"/>
        <v>4116844.5552926599</v>
      </c>
      <c r="I8" s="49">
        <f t="shared" si="1"/>
        <v>4283870.6482176781</v>
      </c>
      <c r="J8" s="49">
        <f t="shared" si="1"/>
        <v>4457592.4792814795</v>
      </c>
      <c r="K8" s="49">
        <f t="shared" si="1"/>
        <v>4638274.4370783838</v>
      </c>
      <c r="L8" s="49">
        <f t="shared" si="1"/>
        <v>4826191.1463064635</v>
      </c>
      <c r="M8" s="49">
        <f t="shared" si="1"/>
        <v>5021627.8536299868</v>
      </c>
      <c r="N8" s="50">
        <f t="shared" si="1"/>
        <v>5224880.8275413569</v>
      </c>
      <c r="O8" s="50">
        <f t="shared" si="1"/>
        <v>5436257.7727011489</v>
      </c>
      <c r="P8" s="50">
        <f t="shared" si="1"/>
        <v>5656078.2592495512</v>
      </c>
      <c r="Q8" s="50">
        <f t="shared" si="1"/>
        <v>5884674.1675975891</v>
      </c>
      <c r="R8" s="50">
        <f t="shared" si="1"/>
        <v>6122390.1492219735</v>
      </c>
      <c r="S8" s="50">
        <f t="shared" si="1"/>
        <v>6369584.1040031621</v>
      </c>
      <c r="T8" s="50">
        <f t="shared" si="1"/>
        <v>6626627.6746624885</v>
      </c>
      <c r="U8" s="50">
        <f t="shared" si="1"/>
        <v>6893906.7588705448</v>
      </c>
      <c r="V8" s="50">
        <f t="shared" si="1"/>
        <v>7171822.039616134</v>
      </c>
      <c r="W8" s="50">
        <f t="shared" si="1"/>
        <v>7460789.5344421156</v>
      </c>
      <c r="X8" s="50">
        <f t="shared" si="1"/>
        <v>7761241.1641722107</v>
      </c>
      <c r="Y8" s="50">
        <f t="shared" si="1"/>
        <v>8073625.3417707719</v>
      </c>
      <c r="Z8" s="50">
        <f t="shared" si="1"/>
        <v>8398407.5819957517</v>
      </c>
      <c r="AA8" s="50">
        <f t="shared" si="1"/>
        <v>8736071.132523898</v>
      </c>
      <c r="AB8" s="50">
        <f t="shared" si="1"/>
        <v>9087117.6272460315</v>
      </c>
    </row>
    <row r="9" spans="1:31">
      <c r="A9" s="30"/>
      <c r="B9" s="30"/>
      <c r="D9" s="49"/>
      <c r="E9"/>
      <c r="F9"/>
      <c r="G9"/>
      <c r="H9"/>
      <c r="I9"/>
      <c r="J9"/>
      <c r="K9"/>
      <c r="L9"/>
      <c r="M9"/>
    </row>
    <row r="10" spans="1:31">
      <c r="A10" s="51" t="s">
        <v>37</v>
      </c>
      <c r="B10" s="30"/>
      <c r="C10" s="52" t="s">
        <v>38</v>
      </c>
      <c r="D10" s="53">
        <f t="shared" ref="D10:AB10" si="2">D3/1000</f>
        <v>1564.2473</v>
      </c>
      <c r="E10" s="53">
        <f t="shared" si="2"/>
        <v>1548.6048269999999</v>
      </c>
      <c r="F10" s="53">
        <f t="shared" si="2"/>
        <v>1542.1243738999997</v>
      </c>
      <c r="G10" s="53">
        <f t="shared" si="2"/>
        <v>1535.6439208000002</v>
      </c>
      <c r="H10" s="53">
        <f t="shared" si="2"/>
        <v>1529.1634677000004</v>
      </c>
      <c r="I10" s="53">
        <f t="shared" si="2"/>
        <v>1522.6830146000004</v>
      </c>
      <c r="J10" s="53">
        <f t="shared" si="2"/>
        <v>1516.2025615000002</v>
      </c>
      <c r="K10" s="53">
        <f t="shared" si="2"/>
        <v>1509.7221084000003</v>
      </c>
      <c r="L10" s="53">
        <f t="shared" si="2"/>
        <v>1503.2416553000003</v>
      </c>
      <c r="M10" s="53">
        <f t="shared" si="2"/>
        <v>1496.7612022000003</v>
      </c>
      <c r="N10" s="54">
        <f t="shared" si="2"/>
        <v>1490.2807491000003</v>
      </c>
      <c r="O10" s="54">
        <f t="shared" si="2"/>
        <v>1483.8002960000003</v>
      </c>
      <c r="P10" s="54">
        <f t="shared" si="2"/>
        <v>1477.3198429000006</v>
      </c>
      <c r="Q10" s="54">
        <f t="shared" si="2"/>
        <v>1470.8393898000002</v>
      </c>
      <c r="R10" s="54">
        <f t="shared" si="2"/>
        <v>1464.3589367000009</v>
      </c>
      <c r="S10" s="54">
        <f t="shared" si="2"/>
        <v>1457.8784836000004</v>
      </c>
      <c r="T10" s="54">
        <f t="shared" si="2"/>
        <v>1451.3980305000009</v>
      </c>
      <c r="U10" s="54">
        <f t="shared" si="2"/>
        <v>1444.9175774000007</v>
      </c>
      <c r="V10" s="54">
        <f t="shared" si="2"/>
        <v>1438.4371243000007</v>
      </c>
      <c r="W10" s="54">
        <f t="shared" si="2"/>
        <v>1431.956671200001</v>
      </c>
      <c r="X10" s="54">
        <f t="shared" si="2"/>
        <v>1425.4762181000006</v>
      </c>
      <c r="Y10" s="54">
        <f t="shared" si="2"/>
        <v>1418.9957650000008</v>
      </c>
      <c r="Z10" s="54">
        <f t="shared" si="2"/>
        <v>1412.5153119000008</v>
      </c>
      <c r="AA10" s="54">
        <f t="shared" si="2"/>
        <v>1406.0348588000011</v>
      </c>
      <c r="AB10" s="54">
        <f t="shared" si="2"/>
        <v>1399.5544057000006</v>
      </c>
    </row>
    <row r="11" spans="1:31">
      <c r="A11" s="55" t="s">
        <v>39</v>
      </c>
      <c r="B11" s="56">
        <v>210</v>
      </c>
      <c r="C11" s="43" t="s">
        <v>34</v>
      </c>
    </row>
    <row r="12" spans="1:31">
      <c r="A12" s="30" t="s">
        <v>40</v>
      </c>
      <c r="B12" s="57">
        <f>B11</f>
        <v>210</v>
      </c>
      <c r="C12" s="43" t="s">
        <v>34</v>
      </c>
      <c r="D12" s="49">
        <f t="shared" ref="D12:AB12" si="3">$B$11*D10</f>
        <v>328491.93300000002</v>
      </c>
      <c r="E12" s="49">
        <f t="shared" si="3"/>
        <v>325207.01366999996</v>
      </c>
      <c r="F12" s="49">
        <f t="shared" si="3"/>
        <v>323846.11851899995</v>
      </c>
      <c r="G12" s="49">
        <f t="shared" si="3"/>
        <v>322485.22336800001</v>
      </c>
      <c r="H12" s="49">
        <f t="shared" si="3"/>
        <v>321124.32821700006</v>
      </c>
      <c r="I12" s="49">
        <f t="shared" si="3"/>
        <v>319763.43306600011</v>
      </c>
      <c r="J12" s="49">
        <f t="shared" si="3"/>
        <v>318402.53791500005</v>
      </c>
      <c r="K12" s="49">
        <f t="shared" si="3"/>
        <v>317041.64276400005</v>
      </c>
      <c r="L12" s="49">
        <f t="shared" si="3"/>
        <v>315680.74761300004</v>
      </c>
      <c r="M12" s="49">
        <f t="shared" si="3"/>
        <v>314319.85246200004</v>
      </c>
      <c r="N12" s="50">
        <f t="shared" si="3"/>
        <v>312958.95731100009</v>
      </c>
      <c r="O12" s="50">
        <f t="shared" si="3"/>
        <v>311598.06216000009</v>
      </c>
      <c r="P12" s="50">
        <f t="shared" si="3"/>
        <v>310237.16700900014</v>
      </c>
      <c r="Q12" s="50">
        <f t="shared" si="3"/>
        <v>308876.27185800002</v>
      </c>
      <c r="R12" s="50">
        <f t="shared" si="3"/>
        <v>307515.37670700019</v>
      </c>
      <c r="S12" s="50">
        <f t="shared" si="3"/>
        <v>306154.48155600007</v>
      </c>
      <c r="T12" s="50">
        <f t="shared" si="3"/>
        <v>304793.58640500018</v>
      </c>
      <c r="U12" s="50">
        <f t="shared" si="3"/>
        <v>303432.69125400012</v>
      </c>
      <c r="V12" s="50">
        <f t="shared" si="3"/>
        <v>302071.79610300018</v>
      </c>
      <c r="W12" s="50">
        <f t="shared" si="3"/>
        <v>300710.90095200023</v>
      </c>
      <c r="X12" s="50">
        <f t="shared" si="3"/>
        <v>299350.00580100011</v>
      </c>
      <c r="Y12" s="50">
        <f t="shared" si="3"/>
        <v>297989.11065000016</v>
      </c>
      <c r="Z12" s="50">
        <f t="shared" si="3"/>
        <v>296628.21549900016</v>
      </c>
      <c r="AA12" s="50">
        <f t="shared" si="3"/>
        <v>295267.32034800021</v>
      </c>
      <c r="AB12" s="50">
        <f t="shared" si="3"/>
        <v>293906.42519700015</v>
      </c>
    </row>
    <row r="13" spans="1:31">
      <c r="A13" s="30"/>
      <c r="B13" s="30"/>
      <c r="C13" s="30"/>
    </row>
    <row r="14" spans="1:31">
      <c r="A14" s="55" t="s">
        <v>41</v>
      </c>
      <c r="B14" s="30"/>
      <c r="C14" s="43" t="s">
        <v>34</v>
      </c>
      <c r="D14" s="49">
        <f t="shared" ref="D14:AB14" si="4">D8+D12</f>
        <v>3859923.6020858339</v>
      </c>
      <c r="E14" s="49">
        <f t="shared" si="4"/>
        <v>3978649.6469227481</v>
      </c>
      <c r="F14" s="49">
        <f t="shared" si="4"/>
        <v>4125717.1076417542</v>
      </c>
      <c r="G14" s="49">
        <f t="shared" si="4"/>
        <v>4278744.8990567252</v>
      </c>
      <c r="H14" s="49">
        <f t="shared" si="4"/>
        <v>4437968.8835096601</v>
      </c>
      <c r="I14" s="49">
        <f t="shared" si="4"/>
        <v>4603634.0812836783</v>
      </c>
      <c r="J14" s="49">
        <f t="shared" si="4"/>
        <v>4775995.0171964793</v>
      </c>
      <c r="K14" s="49">
        <f t="shared" si="4"/>
        <v>4955316.079842384</v>
      </c>
      <c r="L14" s="49">
        <f t="shared" si="4"/>
        <v>5141871.8939194633</v>
      </c>
      <c r="M14" s="49">
        <f t="shared" si="4"/>
        <v>5335947.706091987</v>
      </c>
      <c r="N14" s="50">
        <f t="shared" si="4"/>
        <v>5537839.7848523566</v>
      </c>
      <c r="O14" s="50">
        <f t="shared" si="4"/>
        <v>5747855.8348611491</v>
      </c>
      <c r="P14" s="50">
        <f t="shared" si="4"/>
        <v>5966315.426258551</v>
      </c>
      <c r="Q14" s="50">
        <f t="shared" si="4"/>
        <v>6193550.4394555893</v>
      </c>
      <c r="R14" s="50">
        <f t="shared" si="4"/>
        <v>6429905.5259289742</v>
      </c>
      <c r="S14" s="50">
        <f t="shared" si="4"/>
        <v>6675738.5855591623</v>
      </c>
      <c r="T14" s="50">
        <f t="shared" si="4"/>
        <v>6931421.2610674892</v>
      </c>
      <c r="U14" s="50">
        <f t="shared" si="4"/>
        <v>7197339.450124545</v>
      </c>
      <c r="V14" s="50">
        <f t="shared" si="4"/>
        <v>7473893.8357191347</v>
      </c>
      <c r="W14" s="50">
        <f t="shared" si="4"/>
        <v>7761500.4353941157</v>
      </c>
      <c r="X14" s="50">
        <f t="shared" si="4"/>
        <v>8060591.1699732104</v>
      </c>
      <c r="Y14" s="50">
        <f t="shared" si="4"/>
        <v>8371614.4524207721</v>
      </c>
      <c r="Z14" s="50">
        <f t="shared" si="4"/>
        <v>8695035.7974947523</v>
      </c>
      <c r="AA14" s="50">
        <f t="shared" si="4"/>
        <v>9031338.4528718982</v>
      </c>
      <c r="AB14" s="50">
        <f t="shared" si="4"/>
        <v>9381024.0524430312</v>
      </c>
    </row>
    <row r="15" spans="1:31">
      <c r="A15" s="55" t="s">
        <v>42</v>
      </c>
      <c r="B15" s="58">
        <f>B19*tc</f>
        <v>14891470.704</v>
      </c>
      <c r="C15" s="43" t="s">
        <v>34</v>
      </c>
      <c r="D15" s="49"/>
      <c r="E15" s="49"/>
      <c r="F15" s="49"/>
    </row>
    <row r="16" spans="1:31" hidden="1">
      <c r="A16" s="30" t="s">
        <v>43</v>
      </c>
      <c r="B16" s="30"/>
      <c r="C16" s="59" t="s">
        <v>44</v>
      </c>
      <c r="D16" s="49">
        <v>0</v>
      </c>
      <c r="E16" s="49">
        <v>0</v>
      </c>
      <c r="F16" s="49">
        <v>0</v>
      </c>
      <c r="G16" s="49">
        <v>0</v>
      </c>
      <c r="H16" s="49">
        <v>0</v>
      </c>
      <c r="I16" s="49">
        <v>0</v>
      </c>
      <c r="J16" s="49">
        <v>0</v>
      </c>
      <c r="K16" s="49">
        <v>0</v>
      </c>
      <c r="L16" s="49">
        <v>0</v>
      </c>
      <c r="M16" s="49">
        <v>0</v>
      </c>
      <c r="N16" s="49">
        <v>0</v>
      </c>
      <c r="O16" s="49">
        <v>0</v>
      </c>
      <c r="P16" s="49">
        <v>0</v>
      </c>
      <c r="Q16" s="49">
        <v>0</v>
      </c>
      <c r="R16" s="49">
        <v>0</v>
      </c>
      <c r="S16" s="49">
        <v>0</v>
      </c>
      <c r="T16" s="49">
        <v>0</v>
      </c>
      <c r="U16" s="49">
        <v>0</v>
      </c>
      <c r="V16" s="49">
        <v>0</v>
      </c>
      <c r="W16" s="49">
        <v>0</v>
      </c>
      <c r="X16" s="49">
        <v>0</v>
      </c>
      <c r="Y16" s="49">
        <v>0</v>
      </c>
      <c r="Z16" s="49">
        <v>0</v>
      </c>
      <c r="AA16" s="49">
        <v>0</v>
      </c>
      <c r="AB16" s="49">
        <v>0</v>
      </c>
    </row>
    <row r="17" spans="1:28" hidden="1">
      <c r="A17" s="30" t="s">
        <v>45</v>
      </c>
      <c r="B17" s="30"/>
      <c r="C17" s="60">
        <v>2.0500000000000001E-2</v>
      </c>
    </row>
    <row r="18" spans="1:28" hidden="1">
      <c r="A18" s="30"/>
      <c r="B18" s="30"/>
      <c r="C18" s="43" t="s">
        <v>34</v>
      </c>
      <c r="D18" s="61">
        <f t="shared" ref="D18:AB18" si="5">tc*D16</f>
        <v>0</v>
      </c>
      <c r="E18" s="61">
        <f t="shared" si="5"/>
        <v>0</v>
      </c>
      <c r="F18" s="61">
        <f t="shared" si="5"/>
        <v>0</v>
      </c>
      <c r="G18" s="61">
        <f t="shared" si="5"/>
        <v>0</v>
      </c>
      <c r="H18" s="61">
        <f t="shared" si="5"/>
        <v>0</v>
      </c>
      <c r="I18" s="61">
        <f t="shared" si="5"/>
        <v>0</v>
      </c>
      <c r="J18" s="61">
        <f t="shared" si="5"/>
        <v>0</v>
      </c>
      <c r="K18" s="61">
        <f t="shared" si="5"/>
        <v>0</v>
      </c>
      <c r="L18" s="61">
        <f t="shared" si="5"/>
        <v>0</v>
      </c>
      <c r="M18" s="61">
        <f t="shared" si="5"/>
        <v>0</v>
      </c>
      <c r="N18" s="62">
        <f t="shared" si="5"/>
        <v>0</v>
      </c>
      <c r="O18" s="62">
        <f t="shared" si="5"/>
        <v>0</v>
      </c>
      <c r="P18" s="62">
        <f t="shared" si="5"/>
        <v>0</v>
      </c>
      <c r="Q18" s="62">
        <f t="shared" si="5"/>
        <v>0</v>
      </c>
      <c r="R18" s="62">
        <f t="shared" si="5"/>
        <v>0</v>
      </c>
      <c r="S18" s="62">
        <f t="shared" si="5"/>
        <v>0</v>
      </c>
      <c r="T18" s="62">
        <f t="shared" si="5"/>
        <v>0</v>
      </c>
      <c r="U18" s="62">
        <f t="shared" si="5"/>
        <v>0</v>
      </c>
      <c r="V18" s="62">
        <f t="shared" si="5"/>
        <v>0</v>
      </c>
      <c r="W18" s="62">
        <f t="shared" si="5"/>
        <v>0</v>
      </c>
      <c r="X18" s="62">
        <f t="shared" si="5"/>
        <v>0</v>
      </c>
      <c r="Y18" s="62">
        <f t="shared" si="5"/>
        <v>0</v>
      </c>
      <c r="Z18" s="62">
        <f t="shared" si="5"/>
        <v>0</v>
      </c>
      <c r="AA18" s="62">
        <f t="shared" si="5"/>
        <v>0</v>
      </c>
      <c r="AB18" s="62">
        <f t="shared" si="5"/>
        <v>0</v>
      </c>
    </row>
    <row r="19" spans="1:28">
      <c r="A19" s="63" t="s">
        <v>46</v>
      </c>
      <c r="B19" s="64">
        <f>B1*B2</f>
        <v>791678.4</v>
      </c>
      <c r="C19" s="59" t="s">
        <v>44</v>
      </c>
      <c r="D19" s="49"/>
      <c r="F19" s="49"/>
    </row>
    <row r="20" spans="1:28">
      <c r="A20" s="65" t="s">
        <v>47</v>
      </c>
      <c r="B20" s="59"/>
      <c r="C20" s="66">
        <f>-B15</f>
        <v>-14891470.704</v>
      </c>
      <c r="D20" s="49">
        <f t="shared" ref="D20:AB20" si="6">D14-D16</f>
        <v>3859923.6020858339</v>
      </c>
      <c r="E20" s="49">
        <f t="shared" si="6"/>
        <v>3978649.6469227481</v>
      </c>
      <c r="F20" s="49">
        <f t="shared" si="6"/>
        <v>4125717.1076417542</v>
      </c>
      <c r="G20" s="49">
        <f t="shared" si="6"/>
        <v>4278744.8990567252</v>
      </c>
      <c r="H20" s="49">
        <f t="shared" si="6"/>
        <v>4437968.8835096601</v>
      </c>
      <c r="I20" s="49">
        <f t="shared" si="6"/>
        <v>4603634.0812836783</v>
      </c>
      <c r="J20" s="49">
        <f t="shared" si="6"/>
        <v>4775995.0171964793</v>
      </c>
      <c r="K20" s="49">
        <f t="shared" si="6"/>
        <v>4955316.079842384</v>
      </c>
      <c r="L20" s="49">
        <f t="shared" si="6"/>
        <v>5141871.8939194633</v>
      </c>
      <c r="M20" s="49">
        <f t="shared" si="6"/>
        <v>5335947.706091987</v>
      </c>
      <c r="N20" s="50">
        <f t="shared" si="6"/>
        <v>5537839.7848523566</v>
      </c>
      <c r="O20" s="50">
        <f t="shared" si="6"/>
        <v>5747855.8348611491</v>
      </c>
      <c r="P20" s="50">
        <f t="shared" si="6"/>
        <v>5966315.426258551</v>
      </c>
      <c r="Q20" s="50">
        <f t="shared" si="6"/>
        <v>6193550.4394555893</v>
      </c>
      <c r="R20" s="50">
        <f t="shared" si="6"/>
        <v>6429905.5259289742</v>
      </c>
      <c r="S20" s="50">
        <f t="shared" si="6"/>
        <v>6675738.5855591623</v>
      </c>
      <c r="T20" s="50">
        <f t="shared" si="6"/>
        <v>6931421.2610674892</v>
      </c>
      <c r="U20" s="50">
        <f t="shared" si="6"/>
        <v>7197339.450124545</v>
      </c>
      <c r="V20" s="50">
        <f t="shared" si="6"/>
        <v>7473893.8357191347</v>
      </c>
      <c r="W20" s="50">
        <f t="shared" si="6"/>
        <v>7761500.4353941157</v>
      </c>
      <c r="X20" s="50">
        <f t="shared" si="6"/>
        <v>8060591.1699732104</v>
      </c>
      <c r="Y20" s="50">
        <f t="shared" si="6"/>
        <v>8371614.4524207721</v>
      </c>
      <c r="Z20" s="50">
        <f t="shared" si="6"/>
        <v>8695035.7974947523</v>
      </c>
      <c r="AA20" s="50">
        <f t="shared" si="6"/>
        <v>9031338.4528718982</v>
      </c>
      <c r="AB20" s="50">
        <f t="shared" si="6"/>
        <v>9381024.0524430312</v>
      </c>
    </row>
    <row r="21" spans="1:28">
      <c r="A21" s="245">
        <f>B19*1.16</f>
        <v>918346.94400000002</v>
      </c>
      <c r="B21" s="67" t="s">
        <v>48</v>
      </c>
      <c r="C21" s="68">
        <f>IRR(C20:AB20)</f>
        <v>0.29422972025336902</v>
      </c>
    </row>
    <row r="22" spans="1:28">
      <c r="G22" s="69">
        <f>48+(-G24)/(H20/12)</f>
        <v>44.345451028115704</v>
      </c>
      <c r="I22" s="70"/>
      <c r="J22" s="49"/>
    </row>
    <row r="23" spans="1:28">
      <c r="A23" t="s">
        <v>49</v>
      </c>
      <c r="B23" t="s">
        <v>50</v>
      </c>
      <c r="D23" s="49">
        <f>D20</f>
        <v>3859923.6020858339</v>
      </c>
      <c r="E23" s="49">
        <f t="shared" ref="E23:AB23" si="7">D23+E20</f>
        <v>7838573.249008582</v>
      </c>
      <c r="F23" s="49">
        <f t="shared" si="7"/>
        <v>11964290.356650336</v>
      </c>
      <c r="G23" s="49">
        <f t="shared" si="7"/>
        <v>16243035.255707061</v>
      </c>
      <c r="H23" s="49">
        <f t="shared" si="7"/>
        <v>20681004.139216721</v>
      </c>
      <c r="I23" s="49">
        <f t="shared" si="7"/>
        <v>25284638.220500398</v>
      </c>
      <c r="J23" s="49">
        <f t="shared" si="7"/>
        <v>30060633.237696879</v>
      </c>
      <c r="K23" s="49">
        <f t="shared" si="7"/>
        <v>35015949.31753926</v>
      </c>
      <c r="L23" s="49">
        <f t="shared" si="7"/>
        <v>40157821.21145872</v>
      </c>
      <c r="M23" s="49">
        <f t="shared" si="7"/>
        <v>45493768.917550705</v>
      </c>
      <c r="N23" s="50">
        <f t="shared" si="7"/>
        <v>51031608.702403061</v>
      </c>
      <c r="O23" s="50">
        <f t="shared" si="7"/>
        <v>56779464.537264213</v>
      </c>
      <c r="P23" s="50">
        <f t="shared" si="7"/>
        <v>62745779.963522762</v>
      </c>
      <c r="Q23" s="50">
        <f t="shared" si="7"/>
        <v>68939330.402978346</v>
      </c>
      <c r="R23" s="50">
        <f t="shared" si="7"/>
        <v>75369235.92890732</v>
      </c>
      <c r="S23" s="50">
        <f t="shared" si="7"/>
        <v>82044974.514466479</v>
      </c>
      <c r="T23" s="50">
        <f t="shared" si="7"/>
        <v>88976395.775533974</v>
      </c>
      <c r="U23" s="50">
        <f t="shared" si="7"/>
        <v>96173735.225658521</v>
      </c>
      <c r="V23" s="50">
        <f t="shared" si="7"/>
        <v>103647629.06137766</v>
      </c>
      <c r="W23" s="50">
        <f t="shared" si="7"/>
        <v>111409129.49677178</v>
      </c>
      <c r="X23" s="50">
        <f t="shared" si="7"/>
        <v>119469720.66674499</v>
      </c>
      <c r="Y23" s="50">
        <f t="shared" si="7"/>
        <v>127841335.11916576</v>
      </c>
      <c r="Z23" s="50">
        <f t="shared" si="7"/>
        <v>136536370.91666052</v>
      </c>
      <c r="AA23" s="50">
        <f t="shared" si="7"/>
        <v>145567709.36953241</v>
      </c>
      <c r="AB23" s="50">
        <f t="shared" si="7"/>
        <v>154948733.42197543</v>
      </c>
    </row>
    <row r="24" spans="1:28">
      <c r="D24" s="71">
        <f>(-$B$15)+D23</f>
        <v>-11031547.101914166</v>
      </c>
      <c r="E24" s="71">
        <f t="shared" ref="E24:AB24" si="8">(-$B$15)+E23</f>
        <v>-7052897.4549914179</v>
      </c>
      <c r="F24" s="71">
        <f t="shared" si="8"/>
        <v>-2927180.3473496642</v>
      </c>
      <c r="G24" s="71">
        <f t="shared" si="8"/>
        <v>1351564.551707061</v>
      </c>
      <c r="H24" s="71">
        <f t="shared" si="8"/>
        <v>5789533.4352167211</v>
      </c>
      <c r="I24" s="71">
        <f t="shared" si="8"/>
        <v>10393167.516500399</v>
      </c>
      <c r="J24" s="71">
        <f t="shared" si="8"/>
        <v>15169162.533696879</v>
      </c>
      <c r="K24" s="71">
        <f t="shared" si="8"/>
        <v>20124478.61353926</v>
      </c>
      <c r="L24" s="71">
        <f t="shared" si="8"/>
        <v>25266350.50745872</v>
      </c>
      <c r="M24" s="71">
        <f t="shared" si="8"/>
        <v>30602298.213550705</v>
      </c>
      <c r="N24" s="71">
        <f t="shared" si="8"/>
        <v>36140137.998403057</v>
      </c>
      <c r="O24" s="71">
        <f t="shared" si="8"/>
        <v>41887993.833264217</v>
      </c>
      <c r="P24" s="71">
        <f t="shared" si="8"/>
        <v>47854309.259522766</v>
      </c>
      <c r="Q24" s="71">
        <f t="shared" si="8"/>
        <v>54047859.69897835</v>
      </c>
      <c r="R24" s="71">
        <f t="shared" si="8"/>
        <v>60477765.224907324</v>
      </c>
      <c r="S24" s="71">
        <f t="shared" si="8"/>
        <v>67153503.810466483</v>
      </c>
      <c r="T24" s="71">
        <f t="shared" si="8"/>
        <v>74084925.071533978</v>
      </c>
      <c r="U24" s="71">
        <f t="shared" si="8"/>
        <v>81282264.521658525</v>
      </c>
      <c r="V24" s="71">
        <f t="shared" si="8"/>
        <v>88756158.357377663</v>
      </c>
      <c r="W24" s="71">
        <f t="shared" si="8"/>
        <v>96517658.792771786</v>
      </c>
      <c r="X24" s="71">
        <f t="shared" si="8"/>
        <v>104578249.962745</v>
      </c>
      <c r="Y24" s="71">
        <f t="shared" si="8"/>
        <v>112949864.41516577</v>
      </c>
      <c r="Z24" s="71">
        <f t="shared" si="8"/>
        <v>121644900.21266052</v>
      </c>
      <c r="AA24" s="71">
        <f t="shared" si="8"/>
        <v>130676238.66553241</v>
      </c>
      <c r="AB24" s="71">
        <f t="shared" si="8"/>
        <v>140057262.71797544</v>
      </c>
    </row>
    <row r="25" spans="1:28" ht="15" customHeight="1">
      <c r="A25" s="352" t="s">
        <v>51</v>
      </c>
      <c r="B25" s="352"/>
      <c r="C25" s="352"/>
      <c r="G25" s="72" t="s">
        <v>52</v>
      </c>
      <c r="H25" s="72" t="s">
        <v>52</v>
      </c>
      <c r="I25" s="72" t="s">
        <v>52</v>
      </c>
      <c r="J25" s="72" t="s">
        <v>52</v>
      </c>
      <c r="K25" s="72" t="s">
        <v>52</v>
      </c>
      <c r="L25" s="72" t="s">
        <v>52</v>
      </c>
      <c r="M25" s="72" t="s">
        <v>52</v>
      </c>
      <c r="N25" s="43" t="s">
        <v>52</v>
      </c>
      <c r="O25" s="43" t="s">
        <v>52</v>
      </c>
      <c r="P25" s="43" t="s">
        <v>52</v>
      </c>
      <c r="Q25" s="43" t="s">
        <v>52</v>
      </c>
      <c r="R25" s="43" t="s">
        <v>52</v>
      </c>
      <c r="S25" s="43" t="s">
        <v>52</v>
      </c>
      <c r="T25" s="43" t="s">
        <v>52</v>
      </c>
      <c r="U25" s="43" t="s">
        <v>52</v>
      </c>
      <c r="V25" s="43" t="s">
        <v>52</v>
      </c>
      <c r="W25" s="43" t="s">
        <v>52</v>
      </c>
      <c r="X25" s="43" t="s">
        <v>52</v>
      </c>
      <c r="Y25" s="43" t="s">
        <v>52</v>
      </c>
      <c r="Z25" s="43" t="s">
        <v>52</v>
      </c>
      <c r="AA25" s="43" t="s">
        <v>52</v>
      </c>
      <c r="AB25" s="43" t="s">
        <v>52</v>
      </c>
    </row>
    <row r="26" spans="1:28">
      <c r="A26" s="73" t="s">
        <v>53</v>
      </c>
      <c r="B26" s="74">
        <v>0.3</v>
      </c>
      <c r="C26" s="59" t="s">
        <v>44</v>
      </c>
      <c r="F26" s="75">
        <f>B26*B15</f>
        <v>4467441.2111999998</v>
      </c>
    </row>
    <row r="27" spans="1:28">
      <c r="C27" s="66">
        <f>(-B15)*0.95</f>
        <v>-14146897.1688</v>
      </c>
      <c r="D27" s="49">
        <f>D20</f>
        <v>3859923.6020858339</v>
      </c>
      <c r="E27" s="49">
        <f>E20</f>
        <v>3978649.6469227481</v>
      </c>
      <c r="F27" s="49">
        <f t="shared" ref="F27:AB27" si="9">F20+F26</f>
        <v>8593158.3188417535</v>
      </c>
      <c r="G27" s="49">
        <f t="shared" si="9"/>
        <v>4278744.8990567252</v>
      </c>
      <c r="H27" s="49">
        <f t="shared" si="9"/>
        <v>4437968.8835096601</v>
      </c>
      <c r="I27" s="49">
        <f t="shared" si="9"/>
        <v>4603634.0812836783</v>
      </c>
      <c r="J27" s="49">
        <f t="shared" si="9"/>
        <v>4775995.0171964793</v>
      </c>
      <c r="K27" s="49">
        <f t="shared" si="9"/>
        <v>4955316.079842384</v>
      </c>
      <c r="L27" s="49">
        <f t="shared" si="9"/>
        <v>5141871.8939194633</v>
      </c>
      <c r="M27" s="49">
        <f t="shared" si="9"/>
        <v>5335947.706091987</v>
      </c>
      <c r="N27" s="50">
        <f t="shared" si="9"/>
        <v>5537839.7848523566</v>
      </c>
      <c r="O27" s="50">
        <f t="shared" si="9"/>
        <v>5747855.8348611491</v>
      </c>
      <c r="P27" s="50">
        <f t="shared" si="9"/>
        <v>5966315.426258551</v>
      </c>
      <c r="Q27" s="50">
        <f t="shared" si="9"/>
        <v>6193550.4394555893</v>
      </c>
      <c r="R27" s="50">
        <f t="shared" si="9"/>
        <v>6429905.5259289742</v>
      </c>
      <c r="S27" s="50">
        <f t="shared" si="9"/>
        <v>6675738.5855591623</v>
      </c>
      <c r="T27" s="50">
        <f t="shared" si="9"/>
        <v>6931421.2610674892</v>
      </c>
      <c r="U27" s="50">
        <f t="shared" si="9"/>
        <v>7197339.450124545</v>
      </c>
      <c r="V27" s="50">
        <f t="shared" si="9"/>
        <v>7473893.8357191347</v>
      </c>
      <c r="W27" s="50">
        <f t="shared" si="9"/>
        <v>7761500.4353941157</v>
      </c>
      <c r="X27" s="50">
        <f t="shared" si="9"/>
        <v>8060591.1699732104</v>
      </c>
      <c r="Y27" s="50">
        <f t="shared" si="9"/>
        <v>8371614.4524207721</v>
      </c>
      <c r="Z27" s="50">
        <f t="shared" si="9"/>
        <v>8695035.7974947523</v>
      </c>
      <c r="AA27" s="50">
        <f t="shared" si="9"/>
        <v>9031338.4528718982</v>
      </c>
      <c r="AB27" s="50">
        <f t="shared" si="9"/>
        <v>9381024.0524430312</v>
      </c>
    </row>
    <row r="28" spans="1:28">
      <c r="B28" t="s">
        <v>48</v>
      </c>
      <c r="C28" s="68">
        <f>IRR(C27:AB27)</f>
        <v>0.34852911041588142</v>
      </c>
      <c r="F28" s="49"/>
    </row>
    <row r="29" spans="1:28" ht="18.75">
      <c r="G29" s="260">
        <f>36+(-F31/(G27/12))</f>
        <v>31.68024483762078</v>
      </c>
      <c r="H29" s="70"/>
      <c r="I29" s="49"/>
    </row>
    <row r="30" spans="1:28">
      <c r="A30" s="246" t="s">
        <v>54</v>
      </c>
      <c r="B30" s="353" t="s">
        <v>55</v>
      </c>
      <c r="C30" s="353"/>
      <c r="D30" s="49">
        <f>D27</f>
        <v>3859923.6020858339</v>
      </c>
      <c r="E30" s="49">
        <f>D30+E27</f>
        <v>7838573.249008582</v>
      </c>
      <c r="F30" s="49">
        <f t="shared" ref="F30:AB30" si="10">E30+F27</f>
        <v>16431731.567850336</v>
      </c>
      <c r="G30" s="49">
        <f t="shared" si="10"/>
        <v>20710476.466907062</v>
      </c>
      <c r="H30" s="49">
        <f t="shared" si="10"/>
        <v>25148445.35041672</v>
      </c>
      <c r="I30" s="49">
        <f t="shared" si="10"/>
        <v>29752079.431700397</v>
      </c>
      <c r="J30" s="49">
        <f t="shared" si="10"/>
        <v>34528074.448896877</v>
      </c>
      <c r="K30" s="49">
        <f t="shared" si="10"/>
        <v>39483390.528739259</v>
      </c>
      <c r="L30" s="49">
        <f t="shared" si="10"/>
        <v>44625262.422658719</v>
      </c>
      <c r="M30" s="49">
        <f t="shared" si="10"/>
        <v>49961210.128750704</v>
      </c>
      <c r="N30" s="50">
        <f t="shared" si="10"/>
        <v>55499049.91360306</v>
      </c>
      <c r="O30" s="50">
        <f t="shared" si="10"/>
        <v>61246905.748464212</v>
      </c>
      <c r="P30" s="50">
        <f t="shared" si="10"/>
        <v>67213221.174722761</v>
      </c>
      <c r="Q30" s="50">
        <f t="shared" si="10"/>
        <v>73406771.614178345</v>
      </c>
      <c r="R30" s="50">
        <f t="shared" si="10"/>
        <v>79836677.140107319</v>
      </c>
      <c r="S30" s="50">
        <f t="shared" si="10"/>
        <v>86512415.725666478</v>
      </c>
      <c r="T30" s="50">
        <f t="shared" si="10"/>
        <v>93443836.986733973</v>
      </c>
      <c r="U30" s="50">
        <f t="shared" si="10"/>
        <v>100641176.43685852</v>
      </c>
      <c r="V30" s="50">
        <f t="shared" si="10"/>
        <v>108115070.27257766</v>
      </c>
      <c r="W30" s="50">
        <f t="shared" si="10"/>
        <v>115876570.70797178</v>
      </c>
      <c r="X30" s="50">
        <f t="shared" si="10"/>
        <v>123937161.87794499</v>
      </c>
      <c r="Y30" s="50">
        <f t="shared" si="10"/>
        <v>132308776.33036576</v>
      </c>
      <c r="Z30" s="50">
        <f t="shared" si="10"/>
        <v>141003812.12786052</v>
      </c>
      <c r="AA30" s="50">
        <f t="shared" si="10"/>
        <v>150035150.58073241</v>
      </c>
      <c r="AB30" s="50">
        <f t="shared" si="10"/>
        <v>159416174.63317543</v>
      </c>
    </row>
    <row r="31" spans="1:28">
      <c r="D31" s="71">
        <f>(-$B$15)+D30</f>
        <v>-11031547.101914166</v>
      </c>
      <c r="E31" s="71">
        <f t="shared" ref="E31:AB31" si="11">(-$B$15)+E30</f>
        <v>-7052897.4549914179</v>
      </c>
      <c r="F31" s="71">
        <f t="shared" si="11"/>
        <v>1540260.8638503365</v>
      </c>
      <c r="G31" s="71">
        <f t="shared" si="11"/>
        <v>5819005.7629070617</v>
      </c>
      <c r="H31" s="71">
        <f t="shared" si="11"/>
        <v>10256974.64641672</v>
      </c>
      <c r="I31" s="71">
        <f t="shared" si="11"/>
        <v>14860608.727700397</v>
      </c>
      <c r="J31" s="71">
        <f t="shared" si="11"/>
        <v>19636603.744896878</v>
      </c>
      <c r="K31" s="71">
        <f t="shared" si="11"/>
        <v>24591919.824739259</v>
      </c>
      <c r="L31" s="71">
        <f t="shared" si="11"/>
        <v>29733791.718658719</v>
      </c>
      <c r="M31" s="71">
        <f t="shared" si="11"/>
        <v>35069739.424750701</v>
      </c>
      <c r="N31" s="71">
        <f t="shared" si="11"/>
        <v>40607579.209603056</v>
      </c>
      <c r="O31" s="71">
        <f t="shared" si="11"/>
        <v>46355435.044464216</v>
      </c>
      <c r="P31" s="71">
        <f t="shared" si="11"/>
        <v>52321750.470722765</v>
      </c>
      <c r="Q31" s="71">
        <f t="shared" si="11"/>
        <v>58515300.910178348</v>
      </c>
      <c r="R31" s="71">
        <f t="shared" si="11"/>
        <v>64945206.436107323</v>
      </c>
      <c r="S31" s="71">
        <f t="shared" si="11"/>
        <v>71620945.021666482</v>
      </c>
      <c r="T31" s="71">
        <f t="shared" si="11"/>
        <v>78552366.282733977</v>
      </c>
      <c r="U31" s="71">
        <f t="shared" si="11"/>
        <v>85749705.732858524</v>
      </c>
      <c r="V31" s="71">
        <f t="shared" si="11"/>
        <v>93223599.568577662</v>
      </c>
      <c r="W31" s="71">
        <f t="shared" si="11"/>
        <v>100985100.00397179</v>
      </c>
      <c r="X31" s="71">
        <f t="shared" si="11"/>
        <v>109045691.17394499</v>
      </c>
      <c r="Y31" s="71">
        <f t="shared" si="11"/>
        <v>117417305.62636577</v>
      </c>
      <c r="Z31" s="71">
        <f t="shared" si="11"/>
        <v>126112341.42386052</v>
      </c>
      <c r="AA31" s="71">
        <f t="shared" si="11"/>
        <v>135143679.87673241</v>
      </c>
      <c r="AB31" s="71">
        <f t="shared" si="11"/>
        <v>144524703.92917544</v>
      </c>
    </row>
    <row r="32" spans="1:28">
      <c r="F32"/>
      <c r="G32" s="72" t="s">
        <v>52</v>
      </c>
      <c r="H32" s="72" t="s">
        <v>52</v>
      </c>
      <c r="I32" s="72" t="s">
        <v>52</v>
      </c>
      <c r="J32" s="72" t="s">
        <v>52</v>
      </c>
      <c r="K32" s="72" t="s">
        <v>52</v>
      </c>
      <c r="L32" s="72" t="s">
        <v>52</v>
      </c>
      <c r="M32" s="72" t="s">
        <v>52</v>
      </c>
      <c r="N32" s="43" t="s">
        <v>52</v>
      </c>
      <c r="O32" s="43" t="s">
        <v>52</v>
      </c>
      <c r="P32" s="43" t="s">
        <v>52</v>
      </c>
      <c r="Q32" s="43" t="s">
        <v>52</v>
      </c>
      <c r="R32" s="43" t="s">
        <v>52</v>
      </c>
      <c r="S32" s="43" t="s">
        <v>52</v>
      </c>
      <c r="T32" s="43" t="s">
        <v>52</v>
      </c>
      <c r="U32" s="43" t="s">
        <v>52</v>
      </c>
      <c r="V32" s="43" t="s">
        <v>52</v>
      </c>
      <c r="W32" s="43" t="s">
        <v>52</v>
      </c>
      <c r="X32" s="43" t="s">
        <v>52</v>
      </c>
      <c r="Y32" s="43" t="s">
        <v>52</v>
      </c>
      <c r="Z32" s="43" t="s">
        <v>52</v>
      </c>
      <c r="AA32" s="43" t="s">
        <v>52</v>
      </c>
      <c r="AB32" s="43" t="s">
        <v>52</v>
      </c>
    </row>
    <row r="33" customFormat="1"/>
    <row r="34" customFormat="1"/>
    <row r="35" customFormat="1"/>
    <row r="36" customFormat="1"/>
    <row r="37" customFormat="1"/>
    <row r="38" customFormat="1"/>
    <row r="39" customFormat="1"/>
    <row r="40" customFormat="1"/>
    <row r="41" customFormat="1"/>
    <row r="42" customFormat="1"/>
    <row r="43" customFormat="1"/>
  </sheetData>
  <mergeCells count="4">
    <mergeCell ref="A1:A2"/>
    <mergeCell ref="A8:B8"/>
    <mergeCell ref="A25:C25"/>
    <mergeCell ref="B30:C30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E28"/>
  <sheetViews>
    <sheetView topLeftCell="C1" zoomScale="60" zoomScaleNormal="60" workbookViewId="0">
      <selection activeCell="B2" sqref="B2:B28"/>
    </sheetView>
  </sheetViews>
  <sheetFormatPr baseColWidth="10" defaultRowHeight="15.75"/>
  <cols>
    <col min="2" max="2" width="112" customWidth="1"/>
    <col min="5" max="5" width="153.625" customWidth="1"/>
  </cols>
  <sheetData>
    <row r="2" spans="2:5" ht="409.6" customHeight="1">
      <c r="B2" s="285"/>
      <c r="E2" s="285"/>
    </row>
    <row r="3" spans="2:5">
      <c r="B3" s="285"/>
      <c r="E3" s="285"/>
    </row>
    <row r="4" spans="2:5">
      <c r="B4" s="285"/>
      <c r="E4" s="285"/>
    </row>
    <row r="5" spans="2:5">
      <c r="B5" s="285"/>
      <c r="E5" s="285"/>
    </row>
    <row r="6" spans="2:5">
      <c r="B6" s="285"/>
      <c r="E6" s="285"/>
    </row>
    <row r="7" spans="2:5">
      <c r="B7" s="285"/>
      <c r="E7" s="285"/>
    </row>
    <row r="8" spans="2:5">
      <c r="B8" s="285"/>
      <c r="E8" s="285"/>
    </row>
    <row r="9" spans="2:5">
      <c r="B9" s="285"/>
      <c r="E9" s="285"/>
    </row>
    <row r="10" spans="2:5">
      <c r="B10" s="285"/>
      <c r="E10" s="285"/>
    </row>
    <row r="11" spans="2:5">
      <c r="B11" s="285"/>
      <c r="E11" s="285"/>
    </row>
    <row r="12" spans="2:5">
      <c r="B12" s="285"/>
      <c r="E12" s="285"/>
    </row>
    <row r="13" spans="2:5">
      <c r="B13" s="285"/>
      <c r="E13" s="285"/>
    </row>
    <row r="14" spans="2:5">
      <c r="B14" s="285"/>
      <c r="E14" s="285"/>
    </row>
    <row r="15" spans="2:5">
      <c r="B15" s="285"/>
      <c r="E15" s="285"/>
    </row>
    <row r="16" spans="2:5">
      <c r="B16" s="285"/>
      <c r="E16" s="285"/>
    </row>
    <row r="17" spans="2:5">
      <c r="B17" s="285"/>
      <c r="E17" s="285"/>
    </row>
    <row r="18" spans="2:5">
      <c r="B18" s="285"/>
      <c r="E18" s="285"/>
    </row>
    <row r="19" spans="2:5">
      <c r="B19" s="285"/>
      <c r="E19" s="285"/>
    </row>
    <row r="20" spans="2:5">
      <c r="B20" s="285"/>
      <c r="E20" s="285"/>
    </row>
    <row r="21" spans="2:5">
      <c r="B21" s="285"/>
      <c r="E21" s="285"/>
    </row>
    <row r="22" spans="2:5">
      <c r="B22" s="285"/>
      <c r="E22" s="285"/>
    </row>
    <row r="23" spans="2:5">
      <c r="B23" s="285"/>
      <c r="E23" s="285"/>
    </row>
    <row r="24" spans="2:5">
      <c r="B24" s="285"/>
      <c r="E24" s="285"/>
    </row>
    <row r="25" spans="2:5">
      <c r="B25" s="285"/>
      <c r="E25" s="285"/>
    </row>
    <row r="26" spans="2:5">
      <c r="B26" s="285"/>
      <c r="E26" s="285"/>
    </row>
    <row r="27" spans="2:5">
      <c r="B27" s="285"/>
    </row>
    <row r="28" spans="2:5">
      <c r="B28" s="285"/>
    </row>
  </sheetData>
  <mergeCells count="2">
    <mergeCell ref="B2:B28"/>
    <mergeCell ref="E2:E26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B669"/>
  <sheetViews>
    <sheetView workbookViewId="0">
      <selection activeCell="K21" sqref="K21"/>
    </sheetView>
  </sheetViews>
  <sheetFormatPr baseColWidth="10" defaultRowHeight="15.75"/>
  <cols>
    <col min="1" max="1" width="7.5" customWidth="1"/>
    <col min="2" max="2" width="4.125" customWidth="1"/>
    <col min="3" max="3" width="7.375" customWidth="1"/>
    <col min="4" max="4" width="10.875" customWidth="1"/>
    <col min="5" max="5" width="10.5" customWidth="1"/>
    <col min="6" max="6" width="2.75" hidden="1" customWidth="1"/>
    <col min="7" max="7" width="12.125" customWidth="1"/>
    <col min="8" max="8" width="11.25" customWidth="1"/>
    <col min="9" max="9" width="0.125" hidden="1" customWidth="1"/>
    <col min="10" max="10" width="11.25" bestFit="1" customWidth="1"/>
    <col min="11" max="11" width="12.75" customWidth="1"/>
    <col min="12" max="12" width="0.125" customWidth="1"/>
    <col min="13" max="13" width="12.125" customWidth="1"/>
    <col min="15" max="15" width="12.625" bestFit="1" customWidth="1"/>
    <col min="16" max="16" width="117.125" customWidth="1"/>
    <col min="17" max="17" width="12.625" bestFit="1" customWidth="1"/>
    <col min="21" max="21" width="11.5" bestFit="1" customWidth="1"/>
    <col min="22" max="22" width="11.375" bestFit="1" customWidth="1"/>
  </cols>
  <sheetData>
    <row r="1" spans="1:28" s="76" customFormat="1" ht="16.5" thickBot="1"/>
    <row r="2" spans="1:28" ht="14.45" customHeight="1">
      <c r="A2" s="360" t="s">
        <v>56</v>
      </c>
      <c r="B2" s="362" t="s">
        <v>38</v>
      </c>
      <c r="C2" s="364" t="s">
        <v>57</v>
      </c>
      <c r="D2" s="366" t="s">
        <v>58</v>
      </c>
      <c r="E2" s="368" t="s">
        <v>59</v>
      </c>
      <c r="F2" s="358" t="s">
        <v>60</v>
      </c>
      <c r="G2" s="358" t="s">
        <v>61</v>
      </c>
      <c r="H2" s="354" t="s">
        <v>62</v>
      </c>
      <c r="I2" s="354" t="s">
        <v>63</v>
      </c>
      <c r="J2" s="354" t="s">
        <v>64</v>
      </c>
      <c r="K2" s="354" t="s">
        <v>65</v>
      </c>
      <c r="L2" s="354" t="s">
        <v>66</v>
      </c>
      <c r="M2" s="354" t="s">
        <v>22</v>
      </c>
      <c r="P2" s="76"/>
      <c r="Q2" s="76"/>
      <c r="R2" s="76"/>
      <c r="S2" s="76"/>
      <c r="T2" s="76"/>
      <c r="U2" s="76"/>
      <c r="V2" s="76"/>
    </row>
    <row r="3" spans="1:28" ht="16.5" thickBot="1">
      <c r="A3" s="361"/>
      <c r="B3" s="363"/>
      <c r="C3" s="365"/>
      <c r="D3" s="367"/>
      <c r="E3" s="369"/>
      <c r="F3" s="359"/>
      <c r="G3" s="359" t="s">
        <v>67</v>
      </c>
      <c r="H3" s="355"/>
      <c r="I3" s="355"/>
      <c r="J3" s="355"/>
      <c r="K3" s="355"/>
      <c r="L3" s="355"/>
      <c r="M3" s="355"/>
      <c r="N3" s="76"/>
      <c r="O3" s="76"/>
      <c r="P3" s="76"/>
      <c r="Q3" s="76"/>
      <c r="R3" s="76"/>
      <c r="S3" s="76"/>
      <c r="T3" s="76"/>
      <c r="U3" s="76"/>
      <c r="V3" s="76"/>
    </row>
    <row r="4" spans="1:28" ht="16.5" thickBot="1">
      <c r="A4" s="77"/>
      <c r="B4" s="78" t="s">
        <v>68</v>
      </c>
      <c r="C4" s="79"/>
      <c r="D4" s="80">
        <v>0</v>
      </c>
      <c r="E4" s="81"/>
      <c r="F4" s="82">
        <f>S22*(1-S26)</f>
        <v>2.0769843333333338</v>
      </c>
      <c r="G4" s="83"/>
      <c r="H4" s="83"/>
      <c r="I4" s="83"/>
      <c r="J4" s="83"/>
      <c r="K4" s="83"/>
      <c r="L4" s="83"/>
      <c r="M4" s="84"/>
      <c r="N4" s="76"/>
      <c r="O4" s="76" t="s">
        <v>142</v>
      </c>
      <c r="P4" s="76" t="s">
        <v>179</v>
      </c>
      <c r="Q4" s="76"/>
      <c r="R4" s="76"/>
      <c r="S4" s="76"/>
      <c r="T4" s="76"/>
      <c r="U4" s="85"/>
      <c r="V4" s="76"/>
      <c r="W4" s="76"/>
      <c r="X4" s="76"/>
      <c r="Y4" s="76"/>
      <c r="Z4" s="76"/>
      <c r="AA4" s="76"/>
      <c r="AB4" s="76"/>
    </row>
    <row r="5" spans="1:28" ht="14.45" customHeight="1" thickBot="1">
      <c r="A5" s="356" t="s">
        <v>191</v>
      </c>
      <c r="B5" s="231">
        <v>1</v>
      </c>
      <c r="C5" s="189">
        <v>45658</v>
      </c>
      <c r="D5" s="190">
        <v>2654781</v>
      </c>
      <c r="E5" s="191">
        <v>2.2581000000000002</v>
      </c>
      <c r="F5" s="192">
        <v>2.6808339999999999</v>
      </c>
      <c r="G5" s="194">
        <f t="shared" ref="G5:G15" si="0">E5*D5</f>
        <v>5994760.9761000006</v>
      </c>
      <c r="H5" s="220">
        <v>1655.31</v>
      </c>
      <c r="I5" s="193">
        <v>8111.6085977777784</v>
      </c>
      <c r="J5" s="86">
        <f>G5+H5</f>
        <v>5996416.2861000001</v>
      </c>
      <c r="K5" s="232">
        <f t="shared" ref="K5:K15" si="1">J5*1.16</f>
        <v>6955842.891876</v>
      </c>
      <c r="L5" s="220">
        <v>0</v>
      </c>
      <c r="M5" s="233">
        <f>K5</f>
        <v>6955842.891876</v>
      </c>
      <c r="N5" s="76"/>
      <c r="O5" s="76" t="s">
        <v>143</v>
      </c>
      <c r="P5" s="76">
        <v>63081107612</v>
      </c>
      <c r="Q5" s="76"/>
      <c r="R5" s="76"/>
      <c r="S5" s="76"/>
      <c r="T5" s="76"/>
      <c r="U5" s="85"/>
      <c r="V5" s="87"/>
      <c r="W5" s="76"/>
      <c r="X5" s="76"/>
      <c r="Y5" s="76"/>
      <c r="Z5" s="76"/>
      <c r="AA5" s="76"/>
      <c r="AB5" s="76"/>
    </row>
    <row r="6" spans="1:28" ht="16.5" thickBot="1">
      <c r="A6" s="357"/>
      <c r="B6" s="234">
        <v>2</v>
      </c>
      <c r="C6" s="235">
        <v>45689</v>
      </c>
      <c r="D6" s="236">
        <v>3040045</v>
      </c>
      <c r="E6" s="237">
        <v>2.3336000000000001</v>
      </c>
      <c r="F6" s="238">
        <v>2.6808339999999999</v>
      </c>
      <c r="G6" s="239">
        <f t="shared" si="0"/>
        <v>7094249.0120000001</v>
      </c>
      <c r="H6" s="240">
        <v>1655.31</v>
      </c>
      <c r="I6" s="241">
        <v>8111.6085977777784</v>
      </c>
      <c r="J6" s="242">
        <f t="shared" ref="J6:J16" si="2">G6+H6</f>
        <v>7095904.3219999997</v>
      </c>
      <c r="K6" s="243">
        <f t="shared" si="1"/>
        <v>8231249.0135199986</v>
      </c>
      <c r="L6" s="240">
        <v>0</v>
      </c>
      <c r="M6" s="244">
        <f t="shared" ref="M6:M16" si="3">K6</f>
        <v>8231249.0135199986</v>
      </c>
      <c r="N6" s="76"/>
      <c r="O6" s="76" t="s">
        <v>2</v>
      </c>
      <c r="P6" s="76" t="s">
        <v>180</v>
      </c>
      <c r="Q6" s="76"/>
      <c r="R6" s="76"/>
      <c r="S6" s="76"/>
      <c r="T6" s="76"/>
      <c r="U6" s="85"/>
      <c r="V6" s="87"/>
      <c r="W6" s="76"/>
      <c r="X6" s="76"/>
      <c r="Y6" s="76"/>
      <c r="Z6" s="76"/>
      <c r="AA6" s="76"/>
      <c r="AB6" s="76"/>
    </row>
    <row r="7" spans="1:28" ht="16.5" thickBot="1">
      <c r="A7" s="357"/>
      <c r="B7" s="231">
        <v>3</v>
      </c>
      <c r="C7" s="189">
        <v>45717</v>
      </c>
      <c r="D7" s="190">
        <v>2832930</v>
      </c>
      <c r="E7" s="191">
        <v>2.1981000000000002</v>
      </c>
      <c r="F7" s="192">
        <v>2.6808339999999999</v>
      </c>
      <c r="G7" s="194">
        <f t="shared" si="0"/>
        <v>6227063.4330000002</v>
      </c>
      <c r="H7" s="220">
        <v>1655.31</v>
      </c>
      <c r="I7" s="193">
        <v>8111.6085977777784</v>
      </c>
      <c r="J7" s="86">
        <f t="shared" si="2"/>
        <v>6228718.7429999998</v>
      </c>
      <c r="K7" s="232">
        <f t="shared" si="1"/>
        <v>7225313.7418799996</v>
      </c>
      <c r="L7" s="220">
        <v>0</v>
      </c>
      <c r="M7" s="233">
        <f t="shared" si="3"/>
        <v>7225313.7418799996</v>
      </c>
      <c r="N7" s="76"/>
      <c r="O7" s="76" t="s">
        <v>3</v>
      </c>
      <c r="P7" s="217" t="s">
        <v>181</v>
      </c>
      <c r="Q7" s="76"/>
      <c r="R7" s="76"/>
      <c r="S7" s="76"/>
      <c r="T7" s="76"/>
      <c r="U7" s="85"/>
      <c r="V7" s="87"/>
      <c r="W7" s="76"/>
      <c r="X7" s="76"/>
      <c r="Y7" s="76"/>
      <c r="Z7" s="76"/>
      <c r="AA7" s="76"/>
      <c r="AB7" s="76"/>
    </row>
    <row r="8" spans="1:28" ht="16.5" thickBot="1">
      <c r="A8" s="357"/>
      <c r="B8" s="234">
        <v>4</v>
      </c>
      <c r="C8" s="235">
        <v>45748</v>
      </c>
      <c r="D8" s="236">
        <v>2931989</v>
      </c>
      <c r="E8" s="237">
        <v>2.2871999999999999</v>
      </c>
      <c r="F8" s="238">
        <v>2.6808339999999999</v>
      </c>
      <c r="G8" s="239">
        <f t="shared" si="0"/>
        <v>6706045.2407999998</v>
      </c>
      <c r="H8" s="240">
        <v>1655.31</v>
      </c>
      <c r="I8" s="241">
        <v>1824.5525079999998</v>
      </c>
      <c r="J8" s="242">
        <f t="shared" si="2"/>
        <v>6707700.5507999994</v>
      </c>
      <c r="K8" s="243">
        <f t="shared" si="1"/>
        <v>7780932.638927999</v>
      </c>
      <c r="L8" s="240">
        <v>0</v>
      </c>
      <c r="M8" s="244">
        <f t="shared" si="3"/>
        <v>7780932.638927999</v>
      </c>
      <c r="N8" s="76"/>
      <c r="O8" s="76"/>
      <c r="P8" s="76"/>
      <c r="Q8" s="76"/>
      <c r="R8" s="76"/>
      <c r="S8" s="76"/>
      <c r="T8" s="76"/>
      <c r="U8" s="85"/>
      <c r="V8" s="87"/>
      <c r="W8" s="76"/>
      <c r="X8" s="76"/>
      <c r="Y8" s="76"/>
      <c r="Z8" s="76"/>
      <c r="AA8" s="76"/>
      <c r="AB8" s="76"/>
    </row>
    <row r="9" spans="1:28" ht="16.5" thickBot="1">
      <c r="A9" s="357"/>
      <c r="B9" s="231">
        <v>5</v>
      </c>
      <c r="C9" s="189">
        <v>45778</v>
      </c>
      <c r="D9" s="190">
        <v>3230098</v>
      </c>
      <c r="E9" s="191">
        <v>2.2856999999999998</v>
      </c>
      <c r="F9" s="192">
        <v>2.6808339999999999</v>
      </c>
      <c r="G9" s="194">
        <f t="shared" si="0"/>
        <v>7383034.9985999996</v>
      </c>
      <c r="H9" s="220">
        <v>1655.31</v>
      </c>
      <c r="I9" s="193">
        <v>9169.1875</v>
      </c>
      <c r="J9" s="86">
        <f t="shared" si="2"/>
        <v>7384690.3085999992</v>
      </c>
      <c r="K9" s="232">
        <f t="shared" si="1"/>
        <v>8566240.7579759993</v>
      </c>
      <c r="L9" s="220">
        <v>0</v>
      </c>
      <c r="M9" s="233">
        <f t="shared" si="3"/>
        <v>8566240.7579759993</v>
      </c>
      <c r="N9" s="76"/>
      <c r="O9" s="76"/>
      <c r="P9" s="76"/>
      <c r="Q9" s="76"/>
      <c r="R9" s="76"/>
      <c r="S9" s="76"/>
      <c r="T9" s="76"/>
      <c r="U9" s="85"/>
      <c r="V9" s="87"/>
      <c r="W9" s="76"/>
      <c r="X9" s="76"/>
      <c r="Y9" s="76"/>
      <c r="Z9" s="76"/>
      <c r="AA9" s="76"/>
      <c r="AB9" s="76"/>
    </row>
    <row r="10" spans="1:28" ht="16.5" thickBot="1">
      <c r="A10" s="357"/>
      <c r="B10" s="234">
        <v>6</v>
      </c>
      <c r="C10" s="235">
        <v>45444</v>
      </c>
      <c r="D10" s="236">
        <v>2483106</v>
      </c>
      <c r="E10" s="237">
        <v>2.2242999999999999</v>
      </c>
      <c r="F10" s="238">
        <v>2.6808339999999999</v>
      </c>
      <c r="G10" s="239">
        <f t="shared" si="0"/>
        <v>5523172.6758000003</v>
      </c>
      <c r="H10" s="240">
        <v>1655.31</v>
      </c>
      <c r="I10" s="241">
        <v>6776.2962399999997</v>
      </c>
      <c r="J10" s="242">
        <f t="shared" si="2"/>
        <v>5524827.9857999999</v>
      </c>
      <c r="K10" s="243">
        <f t="shared" si="1"/>
        <v>6408800.4635279998</v>
      </c>
      <c r="L10" s="240">
        <v>0</v>
      </c>
      <c r="M10" s="244">
        <f t="shared" si="3"/>
        <v>6408800.4635279998</v>
      </c>
      <c r="N10" s="76"/>
      <c r="O10" s="76"/>
      <c r="P10" s="76"/>
      <c r="Q10" s="76"/>
      <c r="R10" s="76"/>
      <c r="S10" s="76"/>
      <c r="T10" s="76"/>
      <c r="U10" s="85"/>
      <c r="V10" s="87"/>
      <c r="W10" s="76"/>
      <c r="X10" s="76"/>
      <c r="Y10" s="76"/>
      <c r="Z10" s="76"/>
      <c r="AA10" s="76"/>
      <c r="AB10" s="76"/>
    </row>
    <row r="11" spans="1:28" ht="16.5" thickBot="1">
      <c r="A11" s="357"/>
      <c r="B11" s="231">
        <v>7</v>
      </c>
      <c r="C11" s="189">
        <v>45474</v>
      </c>
      <c r="D11" s="190">
        <v>2387963</v>
      </c>
      <c r="E11" s="191">
        <v>2.2513999999999998</v>
      </c>
      <c r="F11" s="192">
        <v>2.6808339999999999</v>
      </c>
      <c r="G11" s="194">
        <f t="shared" si="0"/>
        <v>5376259.8981999997</v>
      </c>
      <c r="H11" s="220">
        <v>1655.31</v>
      </c>
      <c r="I11" s="193">
        <v>6511.4421999999995</v>
      </c>
      <c r="J11" s="86">
        <f t="shared" si="2"/>
        <v>5377915.2081999993</v>
      </c>
      <c r="K11" s="232">
        <f t="shared" si="1"/>
        <v>6238381.6415119991</v>
      </c>
      <c r="L11" s="220">
        <v>0</v>
      </c>
      <c r="M11" s="233">
        <f t="shared" si="3"/>
        <v>6238381.6415119991</v>
      </c>
      <c r="N11" s="76"/>
      <c r="O11" s="76"/>
      <c r="P11" s="76"/>
      <c r="Q11" s="76"/>
      <c r="R11" s="76"/>
      <c r="S11" s="76"/>
      <c r="T11" s="76"/>
      <c r="U11" s="85"/>
      <c r="V11" s="87"/>
      <c r="W11" s="76"/>
      <c r="X11" s="76"/>
      <c r="Y11" s="76"/>
      <c r="Z11" s="76"/>
      <c r="AA11" s="76"/>
      <c r="AB11" s="76"/>
    </row>
    <row r="12" spans="1:28" ht="16.5" thickBot="1">
      <c r="A12" s="357"/>
      <c r="B12" s="234">
        <v>8</v>
      </c>
      <c r="C12" s="235">
        <v>45505</v>
      </c>
      <c r="D12" s="236">
        <v>3623015</v>
      </c>
      <c r="E12" s="237">
        <v>2.2513999999999998</v>
      </c>
      <c r="F12" s="238">
        <v>2.6808339999999999</v>
      </c>
      <c r="G12" s="239">
        <f t="shared" si="0"/>
        <v>8156855.9709999999</v>
      </c>
      <c r="H12" s="240">
        <v>1655.31</v>
      </c>
      <c r="I12" s="241">
        <v>4379.7366020000009</v>
      </c>
      <c r="J12" s="242">
        <f t="shared" si="2"/>
        <v>8158511.2809999995</v>
      </c>
      <c r="K12" s="243">
        <f t="shared" si="1"/>
        <v>9463873.0859599989</v>
      </c>
      <c r="L12" s="240">
        <v>0</v>
      </c>
      <c r="M12" s="244">
        <f t="shared" si="3"/>
        <v>9463873.0859599989</v>
      </c>
      <c r="N12" s="76"/>
      <c r="O12" s="76"/>
      <c r="P12" s="76"/>
      <c r="Q12" s="76"/>
      <c r="R12" s="76"/>
      <c r="S12" s="76"/>
      <c r="T12" s="76"/>
      <c r="U12" s="85"/>
      <c r="V12" s="87"/>
      <c r="W12" s="76"/>
      <c r="X12" s="76"/>
      <c r="Y12" s="76"/>
      <c r="Z12" s="76"/>
      <c r="AA12" s="76"/>
      <c r="AB12" s="76"/>
    </row>
    <row r="13" spans="1:28" ht="16.5" thickBot="1">
      <c r="A13" s="357"/>
      <c r="B13" s="231">
        <v>9</v>
      </c>
      <c r="C13" s="189">
        <v>45536</v>
      </c>
      <c r="D13" s="190">
        <v>1862728</v>
      </c>
      <c r="E13" s="191">
        <v>2.2563</v>
      </c>
      <c r="F13" s="192">
        <v>2.6808339999999999</v>
      </c>
      <c r="G13" s="194">
        <f t="shared" si="0"/>
        <v>4202873.1864</v>
      </c>
      <c r="H13" s="220">
        <v>1655.31</v>
      </c>
      <c r="I13" s="193">
        <v>11268.316272</v>
      </c>
      <c r="J13" s="86">
        <f t="shared" si="2"/>
        <v>4204528.4963999996</v>
      </c>
      <c r="K13" s="232">
        <f t="shared" si="1"/>
        <v>4877253.0558239995</v>
      </c>
      <c r="L13" s="220">
        <v>0</v>
      </c>
      <c r="M13" s="233">
        <f t="shared" si="3"/>
        <v>4877253.0558239995</v>
      </c>
      <c r="N13" s="76"/>
      <c r="O13" s="76"/>
      <c r="P13" s="76"/>
      <c r="Q13" s="76"/>
      <c r="R13" s="76"/>
      <c r="S13" s="76"/>
      <c r="T13" s="76"/>
      <c r="U13" s="85"/>
      <c r="V13" s="87"/>
      <c r="W13" s="76"/>
      <c r="X13" s="76"/>
      <c r="Y13" s="76"/>
      <c r="Z13" s="76"/>
      <c r="AA13" s="76"/>
      <c r="AB13" s="76"/>
    </row>
    <row r="14" spans="1:28" ht="16.5" thickBot="1">
      <c r="A14" s="357"/>
      <c r="B14" s="234">
        <v>10</v>
      </c>
      <c r="C14" s="235">
        <v>45566</v>
      </c>
      <c r="D14" s="236">
        <v>2185472</v>
      </c>
      <c r="E14" s="237">
        <v>2.2644000000000002</v>
      </c>
      <c r="F14" s="238">
        <v>2.6808339999999999</v>
      </c>
      <c r="G14" s="239">
        <f t="shared" si="0"/>
        <v>4948782.7968000006</v>
      </c>
      <c r="H14" s="240">
        <v>1655.31</v>
      </c>
      <c r="I14" s="241">
        <v>8576.0439040000001</v>
      </c>
      <c r="J14" s="242">
        <f t="shared" si="2"/>
        <v>4950438.1068000002</v>
      </c>
      <c r="K14" s="243">
        <f t="shared" si="1"/>
        <v>5742508.203888</v>
      </c>
      <c r="L14" s="240">
        <v>0</v>
      </c>
      <c r="M14" s="244">
        <f t="shared" si="3"/>
        <v>5742508.203888</v>
      </c>
      <c r="N14" s="76"/>
      <c r="O14" s="76"/>
      <c r="P14" s="76"/>
      <c r="Q14" s="76"/>
      <c r="R14" s="76"/>
      <c r="S14" s="76"/>
      <c r="T14" s="76"/>
      <c r="U14" s="85"/>
      <c r="V14" s="87"/>
      <c r="W14" s="76"/>
      <c r="X14" s="76"/>
      <c r="Y14" s="76"/>
      <c r="Z14" s="76"/>
      <c r="AA14" s="76"/>
      <c r="AB14" s="76"/>
    </row>
    <row r="15" spans="1:28" ht="16.5" thickBot="1">
      <c r="A15" s="357"/>
      <c r="B15" s="231">
        <v>11</v>
      </c>
      <c r="C15" s="189">
        <v>45597</v>
      </c>
      <c r="D15" s="190">
        <v>2674153</v>
      </c>
      <c r="E15" s="191">
        <v>2.2690000000000001</v>
      </c>
      <c r="F15" s="192">
        <v>2.6808339999999999</v>
      </c>
      <c r="G15" s="194">
        <f t="shared" si="0"/>
        <v>6067653.1570000006</v>
      </c>
      <c r="H15" s="220">
        <v>1655.31</v>
      </c>
      <c r="I15" s="193">
        <v>8387.4872200000009</v>
      </c>
      <c r="J15" s="86">
        <f t="shared" si="2"/>
        <v>6069308.4670000002</v>
      </c>
      <c r="K15" s="232">
        <f t="shared" si="1"/>
        <v>7040397.8217199994</v>
      </c>
      <c r="L15" s="220">
        <v>0</v>
      </c>
      <c r="M15" s="233">
        <f t="shared" si="3"/>
        <v>7040397.8217199994</v>
      </c>
      <c r="N15" s="76"/>
      <c r="O15" s="76"/>
      <c r="P15" s="76"/>
      <c r="Q15" s="76"/>
      <c r="R15" s="76"/>
      <c r="S15" s="76"/>
      <c r="T15" s="76"/>
      <c r="U15" s="85"/>
      <c r="V15" s="87"/>
      <c r="W15" s="76"/>
      <c r="X15" s="76"/>
      <c r="Y15" s="76"/>
      <c r="Z15" s="76"/>
      <c r="AA15" s="76"/>
      <c r="AB15" s="76"/>
    </row>
    <row r="16" spans="1:28" ht="16.5" thickBot="1">
      <c r="A16" s="357"/>
      <c r="B16" s="234">
        <v>12</v>
      </c>
      <c r="C16" s="235">
        <v>45627</v>
      </c>
      <c r="D16" s="236">
        <v>2565084</v>
      </c>
      <c r="E16" s="237">
        <v>2.2115999999999998</v>
      </c>
      <c r="F16" s="238">
        <v>2.6808339999999999</v>
      </c>
      <c r="G16" s="239">
        <f>E16*D16</f>
        <v>5672939.7743999995</v>
      </c>
      <c r="H16" s="240">
        <v>1655.31</v>
      </c>
      <c r="I16" s="241">
        <v>7377.0939220000009</v>
      </c>
      <c r="J16" s="242">
        <f t="shared" si="2"/>
        <v>5674595.0843999991</v>
      </c>
      <c r="K16" s="243">
        <f>J16*1.16</f>
        <v>6582530.2979039988</v>
      </c>
      <c r="L16" s="240">
        <v>0</v>
      </c>
      <c r="M16" s="244">
        <f t="shared" si="3"/>
        <v>6582530.2979039988</v>
      </c>
      <c r="N16" s="76"/>
      <c r="O16" s="76"/>
      <c r="P16" s="76"/>
      <c r="Q16" s="76"/>
      <c r="R16" s="76"/>
      <c r="S16" s="76"/>
      <c r="T16" s="76"/>
      <c r="U16" s="85"/>
      <c r="V16" s="87"/>
      <c r="W16" s="76"/>
      <c r="X16" s="76"/>
      <c r="Y16" s="76"/>
      <c r="Z16" s="76"/>
      <c r="AA16" s="76"/>
      <c r="AB16" s="76"/>
    </row>
    <row r="17" spans="1:28">
      <c r="A17" s="88"/>
      <c r="B17" s="89"/>
      <c r="C17" s="76"/>
      <c r="D17" s="90">
        <f>SUM(D5:D16)</f>
        <v>32471364</v>
      </c>
      <c r="E17" s="191">
        <f>AVERAGE(E5:E16)</f>
        <v>2.2575916666666669</v>
      </c>
      <c r="F17" s="91"/>
      <c r="G17" s="226">
        <f>SUM(G5:G16)</f>
        <v>73353691.120100006</v>
      </c>
      <c r="H17" s="93"/>
      <c r="I17" s="93"/>
      <c r="J17" s="92">
        <f>SUM(J5:J16)</f>
        <v>73373554.84009999</v>
      </c>
      <c r="K17" s="93"/>
      <c r="L17" s="93"/>
      <c r="M17" s="92">
        <f>SUM(M5:M16)</f>
        <v>85113323.614516005</v>
      </c>
      <c r="N17" s="76"/>
      <c r="O17" s="76"/>
      <c r="P17" s="76"/>
      <c r="Q17" s="76"/>
      <c r="R17" s="76"/>
      <c r="S17" s="76"/>
      <c r="T17" s="76"/>
      <c r="U17" s="94"/>
      <c r="V17" s="76"/>
      <c r="W17" s="76"/>
      <c r="X17" s="76"/>
      <c r="Y17" s="76"/>
      <c r="Z17" s="76"/>
      <c r="AA17" s="76"/>
      <c r="AB17" s="76"/>
    </row>
    <row r="18" spans="1:28">
      <c r="A18" s="88"/>
      <c r="B18" s="89"/>
      <c r="C18" s="222"/>
      <c r="D18" s="223">
        <f>D17/12</f>
        <v>2705947</v>
      </c>
      <c r="E18" s="224"/>
      <c r="F18" s="222"/>
      <c r="G18" s="222"/>
      <c r="H18" s="222"/>
      <c r="I18" s="222"/>
      <c r="J18" s="225"/>
      <c r="K18" s="225"/>
      <c r="L18" s="222"/>
      <c r="M18" s="225">
        <f>M17/12</f>
        <v>7092776.9678763337</v>
      </c>
      <c r="N18" s="76"/>
      <c r="O18" s="76"/>
      <c r="P18" s="76"/>
      <c r="Q18" s="76"/>
      <c r="R18" s="76"/>
      <c r="S18" s="76"/>
      <c r="T18" s="76"/>
      <c r="U18" s="76"/>
      <c r="V18" s="76"/>
      <c r="W18" s="76"/>
      <c r="X18" s="76"/>
      <c r="Y18" s="76"/>
      <c r="Z18" s="76"/>
      <c r="AA18" s="76"/>
      <c r="AB18" s="76"/>
    </row>
    <row r="19" spans="1:28" ht="16.5" thickBot="1">
      <c r="A19" s="88"/>
      <c r="B19" s="89"/>
      <c r="C19" s="76"/>
      <c r="D19" s="97"/>
      <c r="E19" s="96"/>
      <c r="F19" s="76"/>
      <c r="G19" s="76"/>
      <c r="H19" s="76"/>
      <c r="I19" s="76"/>
      <c r="J19" s="227" t="s">
        <v>70</v>
      </c>
      <c r="K19" s="228">
        <f>SUM(G5:G16)</f>
        <v>73353691.120100006</v>
      </c>
      <c r="L19" s="76"/>
      <c r="M19" s="87"/>
      <c r="N19" s="76"/>
      <c r="O19" s="76" t="s">
        <v>0</v>
      </c>
      <c r="P19" s="76"/>
      <c r="R19" s="76"/>
      <c r="S19" s="76"/>
      <c r="T19" s="76"/>
      <c r="U19" s="76"/>
      <c r="V19" s="76"/>
      <c r="W19" s="76"/>
      <c r="X19" s="76"/>
      <c r="Y19" s="76"/>
      <c r="Z19" s="76"/>
      <c r="AA19" s="76"/>
      <c r="AB19" s="76"/>
    </row>
    <row r="20" spans="1:28">
      <c r="A20" s="88"/>
      <c r="B20" s="89"/>
      <c r="C20" s="76"/>
      <c r="D20" s="95"/>
      <c r="E20" s="96"/>
      <c r="F20" s="76"/>
      <c r="G20" s="76"/>
      <c r="H20" s="76"/>
      <c r="I20" s="76"/>
      <c r="J20" s="102" t="s">
        <v>72</v>
      </c>
      <c r="K20" s="103">
        <f>SUM(D5:D16)</f>
        <v>32471364</v>
      </c>
      <c r="L20" s="76"/>
      <c r="M20" s="87"/>
      <c r="P20" s="76"/>
      <c r="Q20" s="76"/>
      <c r="R20" s="98" t="s">
        <v>69</v>
      </c>
      <c r="S20" s="99">
        <f>MIN(E5:E16)</f>
        <v>2.1981000000000002</v>
      </c>
      <c r="U20" s="76"/>
      <c r="V20" s="76"/>
      <c r="W20" s="76"/>
      <c r="X20" s="76"/>
      <c r="Y20" s="76"/>
      <c r="Z20" s="76"/>
      <c r="AA20" s="76"/>
      <c r="AB20" s="76"/>
    </row>
    <row r="21" spans="1:28">
      <c r="A21" s="88"/>
      <c r="B21" s="89"/>
      <c r="C21" s="76"/>
      <c r="D21" s="229"/>
      <c r="E21" s="230">
        <f>D17/365</f>
        <v>88962.641095890416</v>
      </c>
      <c r="F21" s="222"/>
      <c r="G21" s="222">
        <f>E21/6.12</f>
        <v>14536.379264034382</v>
      </c>
      <c r="H21" s="76"/>
      <c r="I21" s="76"/>
      <c r="J21" s="106" t="s">
        <v>74</v>
      </c>
      <c r="K21" s="107">
        <f>K19/K20</f>
        <v>2.2590270960006484</v>
      </c>
      <c r="L21" s="76"/>
      <c r="M21" s="87"/>
      <c r="P21" s="76"/>
      <c r="Q21" s="76"/>
      <c r="R21" s="100" t="s">
        <v>71</v>
      </c>
      <c r="S21" s="101">
        <f>MAX(E5:F16)</f>
        <v>2.6808339999999999</v>
      </c>
      <c r="U21" s="76"/>
      <c r="V21" s="76"/>
      <c r="W21" s="76"/>
      <c r="X21" s="76"/>
      <c r="Y21" s="76"/>
      <c r="Z21" s="76"/>
      <c r="AA21" s="76"/>
      <c r="AB21" s="76"/>
    </row>
    <row r="22" spans="1:28">
      <c r="A22" s="88"/>
      <c r="B22" s="89"/>
      <c r="C22" s="76"/>
      <c r="D22" s="229"/>
      <c r="E22" s="224"/>
      <c r="F22" s="222"/>
      <c r="G22" s="222"/>
      <c r="H22" s="76"/>
      <c r="I22" s="76"/>
      <c r="J22" s="76"/>
      <c r="K22" s="76"/>
      <c r="L22" s="76"/>
      <c r="M22" s="87"/>
      <c r="P22" s="76"/>
      <c r="Q22" s="76"/>
      <c r="R22" s="104" t="s">
        <v>73</v>
      </c>
      <c r="S22" s="105">
        <f>AVERAGE(E5:E16)</f>
        <v>2.2575916666666669</v>
      </c>
      <c r="U22" s="76"/>
      <c r="V22" s="76">
        <v>21</v>
      </c>
      <c r="W22" s="76"/>
      <c r="X22" s="76"/>
      <c r="Y22" s="76"/>
      <c r="Z22" s="76"/>
      <c r="AA22" s="76"/>
      <c r="AB22" s="76"/>
    </row>
    <row r="23" spans="1:28" ht="16.5" thickBot="1">
      <c r="A23" s="88"/>
      <c r="B23" s="89"/>
      <c r="C23" s="254">
        <v>45658</v>
      </c>
      <c r="D23" s="255">
        <v>2654781</v>
      </c>
      <c r="E23" s="256">
        <v>2.2581000000000002</v>
      </c>
      <c r="F23" s="222"/>
      <c r="G23" s="222"/>
      <c r="H23" s="76"/>
      <c r="I23" s="76"/>
      <c r="J23" s="76"/>
      <c r="K23" s="76"/>
      <c r="L23" s="76"/>
      <c r="M23" s="87"/>
      <c r="P23" s="76"/>
      <c r="Q23" s="76"/>
      <c r="R23" s="108" t="s">
        <v>75</v>
      </c>
      <c r="S23" s="109">
        <f>SUMPRODUCT(D5:D16,E5:E16)/SUM(D5:D16)</f>
        <v>2.2590270960006484</v>
      </c>
      <c r="U23" s="76"/>
      <c r="V23" s="76"/>
      <c r="W23" s="76"/>
      <c r="X23" s="76"/>
      <c r="Y23" s="76"/>
      <c r="Z23" s="76"/>
      <c r="AA23" s="76"/>
      <c r="AB23" s="76"/>
    </row>
    <row r="24" spans="1:28">
      <c r="A24" s="76"/>
      <c r="B24" s="89"/>
      <c r="C24" s="254">
        <v>45689</v>
      </c>
      <c r="D24" s="254">
        <v>3040045</v>
      </c>
      <c r="E24" s="256">
        <v>2.3336000000000001</v>
      </c>
      <c r="F24" s="222"/>
      <c r="G24" s="222"/>
      <c r="H24" s="76"/>
      <c r="I24" s="76"/>
      <c r="J24" s="76"/>
      <c r="K24" s="76"/>
      <c r="L24" s="76"/>
      <c r="M24" s="87"/>
      <c r="N24" s="76"/>
      <c r="O24" s="76"/>
      <c r="P24" s="76"/>
      <c r="Q24" s="76"/>
      <c r="U24" s="76"/>
      <c r="V24" s="76"/>
      <c r="W24" s="76"/>
      <c r="X24" s="76"/>
      <c r="Y24" s="76"/>
      <c r="Z24" s="76"/>
      <c r="AA24" s="76"/>
      <c r="AB24" s="76"/>
    </row>
    <row r="25" spans="1:28">
      <c r="A25" s="76"/>
      <c r="B25" s="76"/>
      <c r="C25" s="254">
        <v>45717</v>
      </c>
      <c r="D25" s="254">
        <v>2832930</v>
      </c>
      <c r="E25" s="254">
        <v>2.1981000000000002</v>
      </c>
      <c r="F25" s="76"/>
      <c r="G25" s="76"/>
      <c r="H25" s="76"/>
      <c r="I25" s="76"/>
      <c r="J25" s="76"/>
      <c r="K25" s="111">
        <f>D17/365</f>
        <v>88962.641095890416</v>
      </c>
      <c r="L25" s="76"/>
      <c r="M25" s="76"/>
      <c r="N25" s="76"/>
      <c r="O25" s="76"/>
      <c r="P25" s="110">
        <v>1340000</v>
      </c>
      <c r="Q25" s="76"/>
      <c r="R25" s="76"/>
      <c r="S25" s="76"/>
      <c r="U25" s="76"/>
      <c r="V25" s="76"/>
      <c r="W25" s="76" t="s">
        <v>76</v>
      </c>
      <c r="X25" s="76"/>
      <c r="Y25" s="76"/>
      <c r="Z25" s="76"/>
      <c r="AA25" s="76"/>
      <c r="AB25" s="76"/>
    </row>
    <row r="26" spans="1:28">
      <c r="A26" s="76"/>
      <c r="B26" s="76"/>
      <c r="C26" s="254">
        <v>45748</v>
      </c>
      <c r="D26" s="257">
        <v>2931989</v>
      </c>
      <c r="E26" s="254">
        <v>2.2871999999999999</v>
      </c>
      <c r="F26" s="76"/>
      <c r="G26" s="76"/>
      <c r="H26" s="76"/>
      <c r="I26" s="76"/>
      <c r="J26" s="76"/>
      <c r="K26" s="111">
        <f>K25/6</f>
        <v>14827.106849315069</v>
      </c>
      <c r="L26" s="76"/>
      <c r="M26" s="76"/>
      <c r="N26" s="76"/>
      <c r="O26" s="76"/>
      <c r="P26" s="111">
        <f>P25/545</f>
        <v>2458.7155963302753</v>
      </c>
      <c r="Q26" s="76"/>
      <c r="R26" s="100" t="s">
        <v>77</v>
      </c>
      <c r="S26" s="112">
        <v>0.08</v>
      </c>
      <c r="U26" s="76"/>
      <c r="V26" s="76"/>
      <c r="W26" s="76"/>
      <c r="X26" s="76"/>
      <c r="Y26" s="76"/>
      <c r="Z26" s="76"/>
      <c r="AA26" s="76"/>
      <c r="AB26" s="76"/>
    </row>
    <row r="27" spans="1:28">
      <c r="A27" s="76"/>
      <c r="B27" s="76"/>
      <c r="C27" s="254">
        <v>45778</v>
      </c>
      <c r="D27" s="257">
        <v>3230098</v>
      </c>
      <c r="E27" s="254">
        <v>2.2856999999999998</v>
      </c>
      <c r="F27" s="76"/>
      <c r="G27" s="76"/>
      <c r="H27" s="76"/>
      <c r="I27" s="76"/>
      <c r="J27" s="76"/>
      <c r="K27" s="111">
        <f>K26/0.71</f>
        <v>20883.249083542352</v>
      </c>
      <c r="L27" s="76"/>
      <c r="M27" s="76"/>
      <c r="N27" s="76"/>
      <c r="O27" s="76"/>
      <c r="P27" s="76"/>
      <c r="Q27" s="76"/>
      <c r="R27" s="76"/>
      <c r="S27" s="76"/>
      <c r="U27" s="76"/>
      <c r="V27" s="76"/>
      <c r="W27" s="76"/>
      <c r="X27" s="76"/>
      <c r="Y27" s="76"/>
      <c r="Z27" s="76"/>
      <c r="AA27" s="76"/>
      <c r="AB27" s="76"/>
    </row>
    <row r="28" spans="1:28">
      <c r="A28" s="76"/>
      <c r="B28" s="76"/>
      <c r="C28" s="254">
        <v>45444</v>
      </c>
      <c r="D28" s="257">
        <v>2483106</v>
      </c>
      <c r="E28" s="258">
        <v>2.2242999999999999</v>
      </c>
      <c r="F28" s="76"/>
      <c r="G28" s="76"/>
      <c r="H28" s="76"/>
      <c r="I28" s="76"/>
      <c r="J28" s="76"/>
      <c r="K28" s="76"/>
      <c r="L28" s="76"/>
      <c r="M28" s="76"/>
      <c r="N28" s="76"/>
      <c r="O28" s="76"/>
      <c r="P28" s="87">
        <f>SUMPRODUCT(D11:D16,E11:E16)</f>
        <v>34425364.783799998</v>
      </c>
      <c r="Q28" s="76"/>
      <c r="R28" s="76"/>
      <c r="S28" s="76"/>
      <c r="U28" s="76"/>
      <c r="V28" s="76"/>
      <c r="W28" s="76"/>
      <c r="X28" s="76"/>
      <c r="Y28" s="76"/>
      <c r="Z28" s="76"/>
      <c r="AA28" s="76"/>
      <c r="AB28" s="76"/>
    </row>
    <row r="29" spans="1:28">
      <c r="A29" s="76"/>
      <c r="B29" s="76"/>
      <c r="C29" s="254">
        <v>45474</v>
      </c>
      <c r="D29" s="254">
        <v>2387963</v>
      </c>
      <c r="E29" s="259">
        <v>2.2513999999999998</v>
      </c>
      <c r="F29" s="76"/>
      <c r="G29" s="76"/>
      <c r="H29" s="76"/>
      <c r="I29" s="76"/>
      <c r="J29" s="76"/>
      <c r="K29" s="76"/>
      <c r="L29" s="76"/>
      <c r="M29" s="76"/>
      <c r="N29" s="76"/>
      <c r="O29" s="76"/>
      <c r="P29" s="76"/>
      <c r="Q29" s="76"/>
      <c r="R29" s="76"/>
      <c r="S29" s="76"/>
      <c r="T29" s="76"/>
      <c r="U29" s="76"/>
      <c r="V29" s="76"/>
      <c r="W29" s="76"/>
      <c r="X29" s="76"/>
      <c r="Y29" s="76"/>
      <c r="Z29" s="76"/>
      <c r="AA29" s="76"/>
      <c r="AB29" s="76"/>
    </row>
    <row r="30" spans="1:28">
      <c r="A30" s="76"/>
      <c r="B30" s="76"/>
      <c r="C30" s="254">
        <v>45505</v>
      </c>
      <c r="D30" s="257">
        <v>3623015</v>
      </c>
      <c r="E30" s="259">
        <v>2.2513999999999998</v>
      </c>
      <c r="F30" s="76"/>
      <c r="G30" s="76"/>
      <c r="H30" s="76"/>
      <c r="I30" s="76"/>
      <c r="J30" s="76"/>
      <c r="K30" s="76"/>
      <c r="L30" s="76"/>
      <c r="M30" s="76"/>
      <c r="N30" s="76"/>
      <c r="O30" s="76"/>
      <c r="P30" s="76"/>
      <c r="Q30" s="76"/>
      <c r="R30" s="76"/>
      <c r="S30" s="76"/>
      <c r="T30" s="76"/>
      <c r="U30" s="76"/>
      <c r="V30" s="76"/>
      <c r="W30" s="76"/>
      <c r="X30" s="76"/>
      <c r="Y30" s="76"/>
      <c r="Z30" s="76"/>
      <c r="AA30" s="76"/>
      <c r="AB30" s="76"/>
    </row>
    <row r="31" spans="1:28">
      <c r="A31" s="76"/>
      <c r="B31" s="76"/>
      <c r="C31" s="254">
        <v>45536</v>
      </c>
      <c r="D31" s="254">
        <v>1862728</v>
      </c>
      <c r="E31" s="259">
        <v>2.2563</v>
      </c>
      <c r="F31" s="76"/>
      <c r="G31" s="76"/>
      <c r="H31" s="76"/>
      <c r="I31" s="76"/>
      <c r="J31" s="76"/>
      <c r="K31" s="76"/>
      <c r="L31" s="76"/>
      <c r="M31" s="76"/>
      <c r="N31" s="76"/>
      <c r="O31" s="76"/>
      <c r="P31" s="76"/>
      <c r="Q31" s="76"/>
      <c r="R31" s="76"/>
      <c r="S31" s="76"/>
      <c r="T31" s="76"/>
      <c r="U31" s="76"/>
      <c r="V31" s="76"/>
      <c r="W31" s="76"/>
      <c r="X31" s="76"/>
      <c r="Y31" s="76"/>
      <c r="Z31" s="76"/>
      <c r="AA31" s="76"/>
      <c r="AB31" s="76"/>
    </row>
    <row r="32" spans="1:28">
      <c r="A32" s="76"/>
      <c r="B32" s="76"/>
      <c r="C32" s="254">
        <v>45566</v>
      </c>
      <c r="D32" s="254">
        <v>2185472</v>
      </c>
      <c r="E32" s="259">
        <v>2.2644000000000002</v>
      </c>
      <c r="F32" s="76"/>
      <c r="G32" s="76"/>
      <c r="H32" s="76"/>
      <c r="I32" s="76"/>
      <c r="J32" s="76"/>
      <c r="K32" s="76"/>
      <c r="L32" s="76"/>
      <c r="M32" s="76"/>
      <c r="N32" s="76"/>
      <c r="O32" s="76"/>
      <c r="P32" s="76"/>
      <c r="Q32" s="76"/>
      <c r="R32" s="76"/>
      <c r="S32" s="76"/>
      <c r="T32" s="76"/>
      <c r="U32" s="76"/>
      <c r="V32" s="76"/>
      <c r="W32" s="76"/>
      <c r="X32" s="76"/>
      <c r="Y32" s="76"/>
      <c r="Z32" s="76"/>
      <c r="AA32" s="76"/>
      <c r="AB32" s="76"/>
    </row>
    <row r="33" spans="1:28">
      <c r="A33" s="76"/>
      <c r="B33" s="76"/>
      <c r="C33" s="254">
        <v>45597</v>
      </c>
      <c r="D33" s="254">
        <v>2674153</v>
      </c>
      <c r="E33" s="259">
        <v>2.2690000000000001</v>
      </c>
      <c r="F33" s="76"/>
      <c r="G33" s="76"/>
      <c r="H33" s="76"/>
      <c r="I33" s="76"/>
      <c r="J33" s="76"/>
      <c r="K33" s="76"/>
      <c r="L33" s="76"/>
      <c r="M33" s="76"/>
      <c r="N33" s="76"/>
      <c r="O33" s="76"/>
      <c r="P33" s="76"/>
      <c r="Q33" s="76"/>
      <c r="R33" s="76"/>
      <c r="S33" s="76"/>
      <c r="T33" s="76"/>
      <c r="U33" s="76"/>
      <c r="V33" s="76"/>
      <c r="W33" s="76"/>
      <c r="X33" s="76"/>
      <c r="Y33" s="76"/>
      <c r="Z33" s="76"/>
      <c r="AA33" s="76"/>
      <c r="AB33" s="76"/>
    </row>
    <row r="34" spans="1:28">
      <c r="A34" s="76"/>
      <c r="B34" s="76"/>
      <c r="C34" s="254">
        <v>45627</v>
      </c>
      <c r="D34" s="254">
        <v>2565084</v>
      </c>
      <c r="E34" s="254">
        <v>2.2115999999999998</v>
      </c>
      <c r="F34" s="76"/>
      <c r="G34" s="76"/>
      <c r="H34" s="76"/>
      <c r="I34" s="76"/>
      <c r="J34" s="76"/>
      <c r="K34" s="76"/>
      <c r="L34" s="76"/>
      <c r="M34" s="76"/>
      <c r="N34" s="76"/>
      <c r="O34" s="76"/>
      <c r="P34" s="76"/>
      <c r="Q34" s="76"/>
      <c r="R34" s="76"/>
      <c r="S34" s="76"/>
      <c r="T34" s="76"/>
      <c r="U34" s="76"/>
      <c r="V34" s="76"/>
      <c r="W34" s="76"/>
      <c r="X34" s="76"/>
      <c r="Y34" s="76"/>
      <c r="Z34" s="76"/>
      <c r="AA34" s="76"/>
      <c r="AB34" s="76"/>
    </row>
    <row r="35" spans="1:28">
      <c r="A35" s="76"/>
      <c r="B35" s="76"/>
      <c r="C35" s="76"/>
      <c r="D35" s="76"/>
      <c r="E35" s="76"/>
      <c r="F35" s="76"/>
      <c r="G35" s="76"/>
      <c r="H35" s="76"/>
      <c r="I35" s="76"/>
      <c r="J35" s="76"/>
      <c r="K35" s="76"/>
      <c r="L35" s="76"/>
      <c r="M35" s="76"/>
      <c r="N35" s="76"/>
      <c r="O35" s="76"/>
      <c r="P35" s="76"/>
      <c r="Q35" s="76"/>
      <c r="R35" s="76"/>
      <c r="S35" s="76"/>
      <c r="T35" s="76"/>
      <c r="U35" s="76"/>
      <c r="V35" s="76"/>
      <c r="W35" s="76"/>
      <c r="X35" s="76"/>
      <c r="Y35" s="76"/>
      <c r="Z35" s="76"/>
      <c r="AA35" s="76"/>
      <c r="AB35" s="76"/>
    </row>
    <row r="36" spans="1:28">
      <c r="A36" s="76"/>
      <c r="B36" s="76"/>
      <c r="C36" s="76"/>
      <c r="D36" s="76"/>
      <c r="E36" s="76"/>
      <c r="F36" s="76"/>
      <c r="G36" s="76"/>
      <c r="H36" s="76"/>
      <c r="I36" s="76"/>
      <c r="J36" s="76"/>
      <c r="K36" s="76"/>
      <c r="L36" s="76"/>
      <c r="M36" s="76"/>
      <c r="N36" s="76"/>
      <c r="O36" s="76"/>
      <c r="P36" s="76"/>
      <c r="Q36" s="76"/>
      <c r="R36" s="76"/>
      <c r="S36" s="76"/>
      <c r="T36" s="76"/>
      <c r="U36" s="76"/>
      <c r="V36" s="76"/>
      <c r="W36" s="76"/>
      <c r="X36" s="76"/>
      <c r="Y36" s="76"/>
      <c r="Z36" s="76"/>
      <c r="AA36" s="76"/>
      <c r="AB36" s="76"/>
    </row>
    <row r="37" spans="1:28">
      <c r="A37" s="76"/>
      <c r="B37" s="76"/>
      <c r="C37" s="76"/>
      <c r="D37" s="76"/>
      <c r="E37" s="76"/>
      <c r="F37" s="76"/>
      <c r="G37" s="76"/>
      <c r="H37" s="76"/>
      <c r="I37" s="76"/>
      <c r="J37" s="76"/>
      <c r="K37" s="76"/>
      <c r="L37" s="76"/>
      <c r="M37" s="76"/>
      <c r="N37" s="76"/>
      <c r="O37" s="76"/>
      <c r="P37" s="76"/>
      <c r="Q37" s="76"/>
      <c r="R37" s="76"/>
      <c r="S37" s="76"/>
      <c r="T37" s="76"/>
      <c r="U37" s="76"/>
      <c r="V37" s="76"/>
      <c r="W37" s="76"/>
      <c r="X37" s="76"/>
      <c r="Y37" s="76"/>
      <c r="Z37" s="76"/>
      <c r="AA37" s="76"/>
      <c r="AB37" s="76"/>
    </row>
    <row r="38" spans="1:28">
      <c r="A38" s="76"/>
      <c r="B38" s="76"/>
      <c r="C38" s="76"/>
      <c r="D38" s="76"/>
      <c r="E38" s="76"/>
      <c r="F38" s="76"/>
      <c r="G38" s="76"/>
      <c r="H38" s="76"/>
      <c r="I38" s="76"/>
      <c r="J38" s="76"/>
      <c r="K38" s="76"/>
      <c r="L38" s="76"/>
      <c r="M38" s="76"/>
      <c r="N38" s="76"/>
      <c r="O38" s="76"/>
      <c r="P38" s="76"/>
      <c r="Q38" s="76"/>
      <c r="R38" s="76"/>
      <c r="S38" s="76"/>
      <c r="T38" s="76"/>
      <c r="U38" s="76"/>
      <c r="V38" s="76"/>
      <c r="W38" s="76"/>
      <c r="X38" s="76"/>
      <c r="Y38" s="76"/>
      <c r="Z38" s="76"/>
      <c r="AA38" s="76"/>
      <c r="AB38" s="76"/>
    </row>
    <row r="39" spans="1:28">
      <c r="A39" s="76"/>
      <c r="B39" s="76"/>
      <c r="C39" s="76"/>
      <c r="D39" s="76"/>
      <c r="E39" s="76"/>
      <c r="F39" s="76"/>
      <c r="G39" s="76"/>
      <c r="H39" s="76"/>
      <c r="I39" s="76"/>
      <c r="J39" s="76"/>
      <c r="K39" s="76"/>
      <c r="L39" s="76"/>
      <c r="M39" s="76"/>
      <c r="N39" s="76"/>
      <c r="O39" s="76"/>
      <c r="P39" s="76"/>
      <c r="Q39" s="76"/>
      <c r="R39" s="76"/>
      <c r="S39" s="76"/>
      <c r="T39" s="76"/>
      <c r="U39" s="76"/>
      <c r="V39" s="76"/>
      <c r="W39" s="76"/>
      <c r="X39" s="76"/>
      <c r="Y39" s="76"/>
      <c r="Z39" s="76"/>
      <c r="AA39" s="76"/>
      <c r="AB39" s="76"/>
    </row>
    <row r="40" spans="1:28">
      <c r="A40" s="76"/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6"/>
      <c r="S40" s="76"/>
      <c r="T40" s="76"/>
      <c r="U40" s="76"/>
      <c r="V40" s="76"/>
      <c r="W40" s="76"/>
      <c r="X40" s="76"/>
      <c r="Y40" s="76"/>
      <c r="Z40" s="76"/>
      <c r="AA40" s="76"/>
      <c r="AB40" s="76"/>
    </row>
    <row r="41" spans="1:28">
      <c r="A41" s="76"/>
      <c r="B41" s="76"/>
      <c r="C41" s="76"/>
      <c r="D41" s="76"/>
      <c r="E41" s="76"/>
      <c r="F41" s="76"/>
      <c r="G41" s="76"/>
      <c r="H41" s="76"/>
      <c r="I41" s="76"/>
      <c r="J41" s="76"/>
      <c r="K41" s="76"/>
      <c r="L41" s="76"/>
      <c r="M41" s="76"/>
      <c r="N41" s="76"/>
      <c r="O41" s="76"/>
      <c r="P41" s="76"/>
      <c r="Q41" s="76"/>
      <c r="R41" s="76"/>
      <c r="S41" s="76"/>
      <c r="T41" s="76"/>
      <c r="U41" s="76"/>
      <c r="V41" s="76"/>
      <c r="W41" s="76"/>
      <c r="X41" s="76"/>
      <c r="Y41" s="76"/>
      <c r="Z41" s="76"/>
      <c r="AA41" s="76"/>
      <c r="AB41" s="76"/>
    </row>
    <row r="42" spans="1:28">
      <c r="A42" s="76"/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6"/>
      <c r="S42" s="76"/>
      <c r="T42" s="76"/>
      <c r="U42" s="76"/>
      <c r="V42" s="76"/>
      <c r="W42" s="76"/>
      <c r="X42" s="76"/>
      <c r="Y42" s="76"/>
      <c r="Z42" s="76"/>
      <c r="AA42" s="76"/>
      <c r="AB42" s="76"/>
    </row>
    <row r="43" spans="1:28">
      <c r="A43" s="76"/>
      <c r="B43" s="76"/>
      <c r="C43" s="76"/>
      <c r="D43" s="76"/>
      <c r="E43" s="76"/>
      <c r="F43" s="76"/>
      <c r="G43" s="76"/>
      <c r="H43" s="76"/>
      <c r="I43" s="76"/>
      <c r="J43" s="76"/>
      <c r="K43" s="76"/>
      <c r="L43" s="76"/>
      <c r="M43" s="76"/>
      <c r="N43" s="76"/>
      <c r="O43" s="76"/>
      <c r="P43" s="76"/>
      <c r="Q43" s="76"/>
      <c r="R43" s="76"/>
      <c r="S43" s="76"/>
      <c r="T43" s="76"/>
      <c r="U43" s="76"/>
      <c r="V43" s="76"/>
      <c r="W43" s="76"/>
      <c r="X43" s="76"/>
      <c r="Y43" s="76"/>
      <c r="Z43" s="76"/>
      <c r="AA43" s="76"/>
      <c r="AB43" s="76"/>
    </row>
    <row r="44" spans="1:28">
      <c r="A44" s="76"/>
      <c r="B44" s="76"/>
      <c r="C44" s="76"/>
      <c r="D44" s="76"/>
      <c r="E44" s="76"/>
      <c r="F44" s="76"/>
      <c r="G44" s="76"/>
      <c r="H44" s="76"/>
      <c r="I44" s="76"/>
      <c r="J44" s="76"/>
      <c r="K44" s="76"/>
      <c r="L44" s="76"/>
      <c r="M44" s="76"/>
      <c r="N44" s="76"/>
      <c r="O44" s="76"/>
      <c r="P44" s="76"/>
      <c r="Q44" s="76"/>
      <c r="R44" s="76"/>
      <c r="S44" s="76"/>
      <c r="T44" s="76"/>
      <c r="U44" s="76"/>
      <c r="V44" s="76"/>
      <c r="W44" s="76"/>
      <c r="X44" s="76"/>
      <c r="Y44" s="76"/>
      <c r="Z44" s="76"/>
      <c r="AA44" s="76"/>
      <c r="AB44" s="76"/>
    </row>
    <row r="45" spans="1:28">
      <c r="F45" s="76"/>
      <c r="G45" s="76"/>
      <c r="H45" s="76"/>
      <c r="I45" s="76"/>
      <c r="J45" s="76"/>
      <c r="K45" s="76"/>
      <c r="L45" s="76"/>
      <c r="M45" s="76"/>
      <c r="N45" s="76"/>
      <c r="O45" s="76"/>
      <c r="P45" s="76"/>
      <c r="Q45" s="76"/>
      <c r="R45" s="76"/>
      <c r="S45" s="76"/>
      <c r="T45" s="76"/>
      <c r="U45" s="76"/>
      <c r="V45" s="76"/>
      <c r="W45" s="76"/>
      <c r="X45" s="76"/>
      <c r="Y45" s="76"/>
      <c r="Z45" s="76"/>
      <c r="AA45" s="76"/>
      <c r="AB45" s="76"/>
    </row>
    <row r="46" spans="1:28">
      <c r="F46" s="76"/>
      <c r="G46" s="76"/>
      <c r="H46" s="76"/>
      <c r="I46" s="76"/>
      <c r="J46" s="76"/>
      <c r="K46" s="76"/>
      <c r="L46" s="76"/>
      <c r="M46" s="76"/>
      <c r="N46" s="76"/>
      <c r="O46" s="76"/>
      <c r="P46" s="76"/>
      <c r="Q46" s="76"/>
      <c r="R46" s="76"/>
      <c r="S46" s="76"/>
      <c r="T46" s="76"/>
      <c r="U46" s="76"/>
      <c r="V46" s="76"/>
      <c r="W46" s="76"/>
      <c r="X46" s="76"/>
      <c r="Y46" s="76"/>
      <c r="Z46" s="76"/>
      <c r="AA46" s="76"/>
      <c r="AB46" s="76"/>
    </row>
    <row r="47" spans="1:28">
      <c r="F47" s="76"/>
      <c r="G47" s="76"/>
      <c r="H47" s="76"/>
      <c r="I47" s="76"/>
      <c r="J47" s="76"/>
      <c r="K47" s="76"/>
      <c r="L47" s="76"/>
      <c r="M47" s="76"/>
      <c r="N47" s="76"/>
      <c r="O47" s="76"/>
      <c r="P47" s="76"/>
      <c r="Q47" s="76"/>
      <c r="R47" s="76"/>
      <c r="S47" s="76"/>
      <c r="T47" s="76"/>
      <c r="U47" s="76"/>
      <c r="V47" s="76"/>
      <c r="W47" s="76"/>
      <c r="X47" s="76"/>
      <c r="Y47" s="76"/>
      <c r="Z47" s="76"/>
      <c r="AA47" s="76"/>
      <c r="AB47" s="76"/>
    </row>
    <row r="48" spans="1:28">
      <c r="F48" s="76"/>
      <c r="G48" s="76"/>
      <c r="H48" s="76"/>
      <c r="I48" s="76"/>
      <c r="J48" s="76"/>
      <c r="K48" s="76"/>
      <c r="L48" s="76"/>
      <c r="M48" s="76"/>
      <c r="N48" s="76"/>
      <c r="O48" s="76"/>
      <c r="P48" s="76"/>
      <c r="Q48" s="76"/>
      <c r="R48" s="76"/>
      <c r="S48" s="76"/>
      <c r="T48" s="76"/>
      <c r="U48" s="76"/>
      <c r="V48" s="76"/>
      <c r="W48" s="76"/>
      <c r="X48" s="76"/>
      <c r="Y48" s="76"/>
      <c r="Z48" s="76"/>
      <c r="AA48" s="76"/>
      <c r="AB48" s="76"/>
    </row>
    <row r="49" spans="6:28">
      <c r="F49" s="76"/>
      <c r="G49" s="76"/>
      <c r="H49" s="76"/>
      <c r="I49" s="76"/>
      <c r="J49" s="76"/>
      <c r="K49" s="76"/>
      <c r="L49" s="76"/>
      <c r="M49" s="76"/>
      <c r="N49" s="76"/>
      <c r="O49" s="76"/>
      <c r="P49" s="76"/>
      <c r="Q49" s="76"/>
      <c r="R49" s="76"/>
      <c r="S49" s="76"/>
      <c r="T49" s="76"/>
      <c r="U49" s="76"/>
      <c r="V49" s="76"/>
      <c r="W49" s="76"/>
      <c r="X49" s="76"/>
      <c r="Y49" s="76"/>
      <c r="Z49" s="76"/>
      <c r="AA49" s="76"/>
      <c r="AB49" s="76"/>
    </row>
    <row r="50" spans="6:28">
      <c r="F50" s="76"/>
      <c r="G50" s="76"/>
      <c r="H50" s="76"/>
      <c r="I50" s="76"/>
      <c r="J50" s="76"/>
      <c r="K50" s="76"/>
      <c r="L50" s="76"/>
      <c r="M50" s="76"/>
      <c r="N50" s="76"/>
      <c r="O50" s="76"/>
      <c r="P50" s="76"/>
      <c r="Q50" s="76"/>
      <c r="R50" s="76"/>
      <c r="S50" s="76"/>
      <c r="T50" s="76"/>
      <c r="U50" s="76"/>
      <c r="V50" s="76"/>
      <c r="W50" s="76"/>
      <c r="X50" s="76"/>
      <c r="Y50" s="76"/>
      <c r="Z50" s="76"/>
      <c r="AA50" s="76"/>
      <c r="AB50" s="76"/>
    </row>
    <row r="51" spans="6:28">
      <c r="F51" s="76"/>
      <c r="G51" s="76"/>
      <c r="H51" s="76"/>
      <c r="I51" s="76"/>
      <c r="J51" s="76"/>
      <c r="K51" s="76"/>
      <c r="L51" s="76"/>
      <c r="M51" s="76"/>
      <c r="N51" s="76"/>
      <c r="O51" s="76"/>
      <c r="P51" s="76"/>
      <c r="Q51" s="76"/>
      <c r="R51" s="76"/>
      <c r="S51" s="76"/>
      <c r="T51" s="76"/>
      <c r="U51" s="76"/>
      <c r="V51" s="76"/>
      <c r="W51" s="76"/>
      <c r="X51" s="76"/>
      <c r="Y51" s="76"/>
      <c r="Z51" s="76"/>
      <c r="AA51" s="76"/>
      <c r="AB51" s="76"/>
    </row>
    <row r="52" spans="6:28">
      <c r="F52" s="76"/>
      <c r="G52" s="76"/>
      <c r="H52" s="76"/>
      <c r="I52" s="76"/>
      <c r="J52" s="76"/>
      <c r="K52" s="76"/>
      <c r="L52" s="76"/>
      <c r="M52" s="76"/>
      <c r="N52" s="76"/>
      <c r="O52" s="76"/>
      <c r="P52" s="76"/>
      <c r="Q52" s="76"/>
      <c r="R52" s="76"/>
      <c r="S52" s="76"/>
      <c r="T52" s="76"/>
      <c r="U52" s="76"/>
      <c r="V52" s="76"/>
      <c r="W52" s="76"/>
      <c r="X52" s="76"/>
      <c r="Y52" s="76"/>
      <c r="Z52" s="76"/>
      <c r="AA52" s="76"/>
      <c r="AB52" s="76"/>
    </row>
    <row r="53" spans="6:28">
      <c r="F53" s="76"/>
      <c r="G53" s="76"/>
      <c r="H53" s="76"/>
      <c r="I53" s="76"/>
      <c r="J53" s="76"/>
      <c r="K53" s="76"/>
      <c r="L53" s="76"/>
      <c r="M53" s="76"/>
      <c r="N53" s="76"/>
      <c r="O53" s="76"/>
      <c r="P53" s="76"/>
      <c r="Q53" s="76"/>
      <c r="R53" s="76"/>
      <c r="S53" s="76"/>
      <c r="T53" s="76"/>
      <c r="U53" s="76"/>
      <c r="V53" s="76"/>
      <c r="W53" s="76"/>
      <c r="X53" s="76"/>
      <c r="Y53" s="76"/>
      <c r="Z53" s="76"/>
      <c r="AA53" s="76"/>
      <c r="AB53" s="76"/>
    </row>
    <row r="54" spans="6:28">
      <c r="F54" s="76"/>
      <c r="G54" s="76"/>
      <c r="H54" s="76"/>
      <c r="I54" s="76"/>
      <c r="J54" s="76"/>
      <c r="K54" s="76"/>
      <c r="L54" s="76"/>
      <c r="M54" s="76"/>
      <c r="N54" s="76"/>
      <c r="O54" s="76"/>
      <c r="P54" s="76"/>
      <c r="Q54" s="76"/>
      <c r="R54" s="76"/>
      <c r="S54" s="76"/>
      <c r="T54" s="76"/>
      <c r="U54" s="76"/>
      <c r="V54" s="76"/>
      <c r="W54" s="76"/>
      <c r="X54" s="76"/>
      <c r="Y54" s="76"/>
      <c r="Z54" s="76"/>
      <c r="AA54" s="76"/>
      <c r="AB54" s="76"/>
    </row>
    <row r="55" spans="6:28">
      <c r="F55" s="76"/>
      <c r="G55" s="76"/>
      <c r="H55" s="76"/>
      <c r="I55" s="76"/>
      <c r="J55" s="76"/>
      <c r="K55" s="76"/>
      <c r="L55" s="76"/>
      <c r="M55" s="76"/>
      <c r="N55" s="76"/>
      <c r="O55" s="76"/>
      <c r="P55" s="76"/>
      <c r="Q55" s="76"/>
      <c r="R55" s="76"/>
      <c r="S55" s="76"/>
      <c r="T55" s="76"/>
      <c r="U55" s="76"/>
      <c r="V55" s="76"/>
      <c r="W55" s="76"/>
      <c r="X55" s="76"/>
      <c r="Y55" s="76"/>
      <c r="Z55" s="76"/>
      <c r="AA55" s="76"/>
      <c r="AB55" s="76"/>
    </row>
    <row r="56" spans="6:28">
      <c r="F56" s="76"/>
      <c r="G56" s="76"/>
      <c r="H56" s="76"/>
      <c r="I56" s="76"/>
      <c r="J56" s="76"/>
      <c r="K56" s="76"/>
      <c r="L56" s="76"/>
      <c r="M56" s="76"/>
      <c r="N56" s="76"/>
      <c r="O56" s="76"/>
      <c r="P56" s="76"/>
      <c r="Q56" s="76"/>
      <c r="R56" s="76"/>
      <c r="S56" s="76"/>
      <c r="T56" s="76"/>
      <c r="U56" s="76"/>
      <c r="V56" s="76"/>
      <c r="W56" s="76"/>
      <c r="X56" s="76"/>
      <c r="Y56" s="76"/>
      <c r="Z56" s="76"/>
      <c r="AA56" s="76"/>
      <c r="AB56" s="76"/>
    </row>
    <row r="57" spans="6:28">
      <c r="F57" s="76"/>
      <c r="G57" s="76"/>
      <c r="H57" s="76"/>
      <c r="I57" s="76"/>
      <c r="J57" s="76"/>
      <c r="K57" s="76"/>
      <c r="L57" s="76"/>
      <c r="M57" s="76"/>
      <c r="N57" s="76"/>
      <c r="O57" s="76"/>
      <c r="P57" s="76"/>
      <c r="Q57" s="76"/>
      <c r="R57" s="76"/>
      <c r="S57" s="76"/>
      <c r="T57" s="76"/>
      <c r="U57" s="76"/>
      <c r="V57" s="76"/>
      <c r="W57" s="76"/>
      <c r="X57" s="76"/>
      <c r="Y57" s="76"/>
      <c r="Z57" s="76"/>
      <c r="AA57" s="76"/>
      <c r="AB57" s="76"/>
    </row>
    <row r="58" spans="6:28">
      <c r="F58" s="76"/>
      <c r="G58" s="76"/>
      <c r="H58" s="76"/>
      <c r="I58" s="76"/>
      <c r="J58" s="76"/>
      <c r="K58" s="76"/>
      <c r="L58" s="76"/>
      <c r="M58" s="76"/>
      <c r="N58" s="76"/>
      <c r="O58" s="76"/>
      <c r="P58" s="76"/>
      <c r="Q58" s="76"/>
      <c r="R58" s="76"/>
      <c r="S58" s="76"/>
      <c r="T58" s="76"/>
      <c r="U58" s="76"/>
      <c r="V58" s="76"/>
      <c r="W58" s="76"/>
      <c r="X58" s="76"/>
      <c r="Y58" s="76"/>
      <c r="Z58" s="76"/>
      <c r="AA58" s="76"/>
      <c r="AB58" s="76"/>
    </row>
    <row r="59" spans="6:28">
      <c r="F59" s="76"/>
      <c r="G59" s="76"/>
      <c r="H59" s="76"/>
      <c r="I59" s="76"/>
      <c r="J59" s="76"/>
      <c r="K59" s="76"/>
      <c r="L59" s="76"/>
      <c r="M59" s="76"/>
      <c r="N59" s="76"/>
      <c r="O59" s="76"/>
      <c r="P59" s="76"/>
      <c r="Q59" s="76"/>
      <c r="R59" s="76"/>
      <c r="S59" s="76"/>
      <c r="T59" s="76"/>
      <c r="U59" s="76"/>
      <c r="V59" s="76"/>
      <c r="W59" s="76"/>
      <c r="X59" s="76"/>
      <c r="Y59" s="76"/>
      <c r="Z59" s="76"/>
      <c r="AA59" s="76"/>
      <c r="AB59" s="76"/>
    </row>
    <row r="60" spans="6:28">
      <c r="F60" s="76"/>
      <c r="G60" s="76"/>
      <c r="H60" s="76"/>
      <c r="I60" s="76"/>
      <c r="J60" s="76"/>
      <c r="K60" s="76"/>
      <c r="L60" s="76"/>
      <c r="M60" s="76"/>
      <c r="N60" s="76"/>
      <c r="O60" s="76"/>
      <c r="P60" s="76"/>
      <c r="Q60" s="76"/>
      <c r="R60" s="76"/>
      <c r="S60" s="76"/>
      <c r="T60" s="76"/>
      <c r="U60" s="76"/>
      <c r="V60" s="76"/>
      <c r="W60" s="76"/>
      <c r="X60" s="76"/>
      <c r="Y60" s="76"/>
      <c r="Z60" s="76"/>
      <c r="AA60" s="76"/>
      <c r="AB60" s="76"/>
    </row>
    <row r="61" spans="6:28">
      <c r="F61" s="76"/>
      <c r="G61" s="76"/>
      <c r="H61" s="76"/>
      <c r="I61" s="76"/>
      <c r="J61" s="76"/>
      <c r="K61" s="76"/>
      <c r="L61" s="76"/>
      <c r="M61" s="76"/>
      <c r="N61" s="76"/>
      <c r="O61" s="76"/>
      <c r="P61" s="76"/>
      <c r="Q61" s="76"/>
      <c r="R61" s="76"/>
      <c r="S61" s="76"/>
      <c r="T61" s="76"/>
      <c r="U61" s="76"/>
      <c r="V61" s="76"/>
      <c r="W61" s="76"/>
      <c r="X61" s="76"/>
      <c r="Y61" s="76"/>
      <c r="Z61" s="76"/>
      <c r="AA61" s="76"/>
      <c r="AB61" s="76"/>
    </row>
    <row r="62" spans="6:28">
      <c r="F62" s="76"/>
      <c r="G62" s="76"/>
      <c r="H62" s="76"/>
      <c r="I62" s="76"/>
      <c r="J62" s="76"/>
      <c r="K62" s="76"/>
      <c r="L62" s="76"/>
      <c r="M62" s="76"/>
      <c r="N62" s="76"/>
      <c r="O62" s="76"/>
      <c r="P62" s="76"/>
      <c r="Q62" s="76"/>
      <c r="R62" s="76"/>
      <c r="S62" s="76"/>
      <c r="T62" s="76"/>
      <c r="U62" s="76"/>
      <c r="V62" s="76"/>
      <c r="W62" s="76"/>
      <c r="X62" s="76"/>
      <c r="Y62" s="76"/>
      <c r="Z62" s="76"/>
      <c r="AA62" s="76"/>
      <c r="AB62" s="76"/>
    </row>
    <row r="63" spans="6:28">
      <c r="F63" s="76"/>
      <c r="G63" s="76"/>
      <c r="H63" s="76"/>
      <c r="I63" s="76"/>
      <c r="J63" s="76"/>
      <c r="K63" s="76"/>
      <c r="L63" s="76"/>
      <c r="M63" s="76"/>
      <c r="N63" s="76"/>
      <c r="O63" s="76"/>
      <c r="P63" s="76"/>
      <c r="Q63" s="76"/>
      <c r="R63" s="76"/>
      <c r="S63" s="76"/>
      <c r="T63" s="76"/>
      <c r="U63" s="76"/>
      <c r="V63" s="76"/>
      <c r="W63" s="76"/>
      <c r="X63" s="76"/>
      <c r="Y63" s="76"/>
      <c r="Z63" s="76"/>
      <c r="AA63" s="76"/>
      <c r="AB63" s="76"/>
    </row>
    <row r="64" spans="6:28">
      <c r="F64" s="76"/>
      <c r="G64" s="76"/>
      <c r="H64" s="76"/>
      <c r="I64" s="76"/>
      <c r="J64" s="76"/>
      <c r="K64" s="76"/>
      <c r="L64" s="76"/>
      <c r="M64" s="76"/>
      <c r="N64" s="76"/>
      <c r="O64" s="76"/>
      <c r="P64" s="76"/>
      <c r="Q64" s="76"/>
      <c r="R64" s="76"/>
      <c r="S64" s="76"/>
      <c r="T64" s="76"/>
      <c r="U64" s="76"/>
      <c r="V64" s="76"/>
      <c r="W64" s="76"/>
      <c r="X64" s="76"/>
      <c r="Y64" s="76"/>
      <c r="Z64" s="76"/>
      <c r="AA64" s="76"/>
      <c r="AB64" s="76"/>
    </row>
    <row r="65" spans="6:28">
      <c r="F65" s="76"/>
      <c r="G65" s="76"/>
      <c r="H65" s="76"/>
      <c r="I65" s="76"/>
      <c r="J65" s="76"/>
      <c r="K65" s="76"/>
      <c r="L65" s="76"/>
      <c r="M65" s="76"/>
      <c r="N65" s="76"/>
      <c r="O65" s="76"/>
      <c r="P65" s="76"/>
      <c r="Q65" s="76"/>
      <c r="R65" s="76"/>
      <c r="S65" s="76"/>
      <c r="T65" s="76"/>
      <c r="U65" s="76"/>
      <c r="V65" s="76"/>
      <c r="W65" s="76"/>
      <c r="X65" s="76"/>
      <c r="Y65" s="76"/>
      <c r="Z65" s="76"/>
      <c r="AA65" s="76"/>
      <c r="AB65" s="76"/>
    </row>
    <row r="66" spans="6:28">
      <c r="F66" s="76"/>
      <c r="G66" s="76"/>
      <c r="H66" s="76"/>
      <c r="I66" s="76"/>
      <c r="J66" s="76"/>
      <c r="K66" s="76"/>
      <c r="L66" s="76"/>
      <c r="M66" s="76"/>
      <c r="N66" s="76"/>
      <c r="O66" s="76"/>
      <c r="P66" s="76"/>
      <c r="Q66" s="76"/>
      <c r="R66" s="76"/>
      <c r="S66" s="76"/>
      <c r="T66" s="76"/>
      <c r="U66" s="76"/>
      <c r="V66" s="76"/>
      <c r="W66" s="76"/>
      <c r="X66" s="76"/>
      <c r="Y66" s="76"/>
      <c r="Z66" s="76"/>
      <c r="AA66" s="76"/>
      <c r="AB66" s="76"/>
    </row>
    <row r="67" spans="6:28">
      <c r="F67" s="76"/>
      <c r="G67" s="76"/>
      <c r="H67" s="76"/>
      <c r="I67" s="76"/>
      <c r="J67" s="76"/>
      <c r="K67" s="76"/>
      <c r="L67" s="76"/>
      <c r="M67" s="76"/>
      <c r="N67" s="76"/>
      <c r="O67" s="76"/>
      <c r="P67" s="76"/>
      <c r="Q67" s="76"/>
      <c r="R67" s="76"/>
      <c r="S67" s="76"/>
      <c r="T67" s="76"/>
      <c r="U67" s="76"/>
      <c r="V67" s="76"/>
      <c r="W67" s="76"/>
      <c r="X67" s="76"/>
      <c r="Y67" s="76"/>
      <c r="Z67" s="76"/>
      <c r="AA67" s="76"/>
      <c r="AB67" s="76"/>
    </row>
    <row r="68" spans="6:28">
      <c r="F68" s="76"/>
      <c r="G68" s="76"/>
      <c r="H68" s="76"/>
      <c r="I68" s="76"/>
      <c r="J68" s="76"/>
      <c r="K68" s="76"/>
      <c r="L68" s="76"/>
      <c r="M68" s="76"/>
      <c r="N68" s="76"/>
      <c r="O68" s="76"/>
      <c r="P68" s="76"/>
      <c r="Q68" s="76"/>
      <c r="R68" s="76"/>
      <c r="S68" s="76"/>
      <c r="T68" s="76"/>
      <c r="U68" s="76"/>
      <c r="V68" s="76"/>
      <c r="W68" s="76"/>
      <c r="X68" s="76"/>
      <c r="Y68" s="76"/>
      <c r="Z68" s="76"/>
      <c r="AA68" s="76"/>
      <c r="AB68" s="76"/>
    </row>
    <row r="69" spans="6:28">
      <c r="F69" s="76"/>
      <c r="G69" s="76"/>
      <c r="H69" s="76"/>
      <c r="I69" s="76"/>
      <c r="J69" s="76"/>
      <c r="K69" s="76"/>
      <c r="L69" s="76"/>
      <c r="M69" s="76"/>
      <c r="N69" s="76"/>
      <c r="O69" s="76"/>
      <c r="P69" s="76"/>
      <c r="Q69" s="76"/>
      <c r="R69" s="76"/>
      <c r="S69" s="76"/>
      <c r="T69" s="76"/>
      <c r="U69" s="76"/>
      <c r="V69" s="76"/>
      <c r="W69" s="76"/>
      <c r="X69" s="76"/>
      <c r="Y69" s="76"/>
      <c r="Z69" s="76"/>
      <c r="AA69" s="76"/>
      <c r="AB69" s="76"/>
    </row>
    <row r="70" spans="6:28">
      <c r="F70" s="76"/>
      <c r="G70" s="76"/>
      <c r="H70" s="76"/>
      <c r="I70" s="76"/>
      <c r="J70" s="76"/>
      <c r="K70" s="76"/>
      <c r="L70" s="76"/>
      <c r="M70" s="76"/>
      <c r="N70" s="76"/>
      <c r="O70" s="76"/>
      <c r="P70" s="76"/>
      <c r="Q70" s="76"/>
      <c r="R70" s="76"/>
      <c r="S70" s="76"/>
      <c r="T70" s="76"/>
      <c r="U70" s="76"/>
      <c r="V70" s="76"/>
      <c r="W70" s="76"/>
      <c r="X70" s="76"/>
      <c r="Y70" s="76"/>
      <c r="Z70" s="76"/>
      <c r="AA70" s="76"/>
      <c r="AB70" s="76"/>
    </row>
    <row r="71" spans="6:28">
      <c r="F71" s="76"/>
      <c r="G71" s="76"/>
      <c r="H71" s="76"/>
      <c r="I71" s="76"/>
      <c r="J71" s="76"/>
      <c r="K71" s="76"/>
      <c r="L71" s="76"/>
      <c r="M71" s="76"/>
      <c r="N71" s="76"/>
      <c r="O71" s="76"/>
      <c r="P71" s="76"/>
      <c r="Q71" s="76"/>
      <c r="R71" s="76"/>
      <c r="S71" s="76"/>
      <c r="T71" s="76"/>
      <c r="U71" s="76"/>
      <c r="V71" s="76"/>
      <c r="W71" s="76"/>
      <c r="X71" s="76"/>
      <c r="Y71" s="76"/>
      <c r="Z71" s="76"/>
      <c r="AA71" s="76"/>
      <c r="AB71" s="76"/>
    </row>
    <row r="72" spans="6:28">
      <c r="F72" s="76"/>
      <c r="G72" s="76"/>
      <c r="H72" s="76"/>
      <c r="I72" s="76"/>
      <c r="J72" s="76"/>
      <c r="K72" s="76"/>
      <c r="L72" s="76"/>
      <c r="M72" s="76"/>
      <c r="N72" s="76"/>
      <c r="O72" s="76"/>
      <c r="P72" s="76"/>
      <c r="Q72" s="76"/>
      <c r="R72" s="76"/>
      <c r="S72" s="76"/>
      <c r="T72" s="76"/>
      <c r="U72" s="76"/>
      <c r="V72" s="76"/>
      <c r="W72" s="76"/>
      <c r="X72" s="76"/>
      <c r="Y72" s="76"/>
      <c r="Z72" s="76"/>
      <c r="AA72" s="76"/>
      <c r="AB72" s="76"/>
    </row>
    <row r="73" spans="6:28">
      <c r="F73" s="76"/>
      <c r="G73" s="76"/>
      <c r="H73" s="76"/>
      <c r="I73" s="76"/>
      <c r="J73" s="76"/>
      <c r="K73" s="76"/>
      <c r="L73" s="76"/>
      <c r="M73" s="76"/>
      <c r="N73" s="76"/>
      <c r="O73" s="76"/>
      <c r="P73" s="76"/>
      <c r="Q73" s="76"/>
      <c r="R73" s="76"/>
      <c r="S73" s="76"/>
      <c r="T73" s="76"/>
      <c r="U73" s="76"/>
      <c r="V73" s="76"/>
      <c r="W73" s="76"/>
      <c r="X73" s="76"/>
      <c r="Y73" s="76"/>
      <c r="Z73" s="76"/>
      <c r="AA73" s="76"/>
      <c r="AB73" s="76"/>
    </row>
    <row r="74" spans="6:28">
      <c r="F74" s="76"/>
      <c r="G74" s="76"/>
      <c r="H74" s="76"/>
      <c r="I74" s="76"/>
      <c r="J74" s="76"/>
      <c r="K74" s="76"/>
      <c r="L74" s="76"/>
      <c r="M74" s="76"/>
      <c r="N74" s="76"/>
      <c r="O74" s="76"/>
      <c r="P74" s="76"/>
      <c r="Q74" s="76"/>
      <c r="R74" s="76"/>
      <c r="S74" s="76"/>
      <c r="T74" s="76"/>
      <c r="U74" s="76"/>
      <c r="V74" s="76"/>
      <c r="W74" s="76"/>
      <c r="X74" s="76"/>
      <c r="Y74" s="76"/>
      <c r="Z74" s="76"/>
      <c r="AA74" s="76"/>
      <c r="AB74" s="76"/>
    </row>
    <row r="75" spans="6:28">
      <c r="F75" s="76"/>
      <c r="G75" s="76"/>
      <c r="H75" s="76"/>
      <c r="I75" s="76"/>
      <c r="J75" s="76"/>
      <c r="K75" s="76"/>
      <c r="L75" s="76"/>
      <c r="M75" s="76"/>
      <c r="N75" s="76"/>
      <c r="O75" s="76"/>
      <c r="P75" s="76"/>
      <c r="Q75" s="76"/>
      <c r="R75" s="76"/>
      <c r="S75" s="76"/>
      <c r="T75" s="76"/>
      <c r="U75" s="76"/>
      <c r="V75" s="76"/>
      <c r="W75" s="76"/>
      <c r="X75" s="76"/>
      <c r="Y75" s="76"/>
      <c r="Z75" s="76"/>
      <c r="AA75" s="76"/>
      <c r="AB75" s="76"/>
    </row>
    <row r="76" spans="6:28">
      <c r="F76" s="76"/>
      <c r="G76" s="76"/>
      <c r="H76" s="76"/>
      <c r="I76" s="76"/>
      <c r="J76" s="76"/>
      <c r="K76" s="76"/>
      <c r="L76" s="76"/>
      <c r="M76" s="76"/>
      <c r="N76" s="76"/>
      <c r="O76" s="76"/>
      <c r="P76" s="76"/>
      <c r="Q76" s="76"/>
      <c r="R76" s="76"/>
      <c r="S76" s="76"/>
      <c r="T76" s="76"/>
      <c r="U76" s="76"/>
      <c r="V76" s="76"/>
      <c r="W76" s="76"/>
      <c r="X76" s="76"/>
      <c r="Y76" s="76"/>
      <c r="Z76" s="76"/>
      <c r="AA76" s="76"/>
      <c r="AB76" s="76"/>
    </row>
    <row r="77" spans="6:28">
      <c r="F77" s="76"/>
      <c r="G77" s="76"/>
      <c r="H77" s="76"/>
      <c r="I77" s="76"/>
      <c r="J77" s="76"/>
      <c r="K77" s="76"/>
      <c r="L77" s="76"/>
      <c r="M77" s="76"/>
      <c r="N77" s="76"/>
      <c r="O77" s="76"/>
      <c r="P77" s="76"/>
      <c r="Q77" s="76"/>
      <c r="R77" s="76"/>
      <c r="S77" s="76"/>
      <c r="T77" s="76"/>
      <c r="U77" s="76"/>
      <c r="V77" s="76"/>
      <c r="W77" s="76"/>
      <c r="X77" s="76"/>
      <c r="Y77" s="76"/>
      <c r="Z77" s="76"/>
      <c r="AA77" s="76"/>
      <c r="AB77" s="76"/>
    </row>
    <row r="78" spans="6:28">
      <c r="F78" s="76"/>
      <c r="G78" s="76"/>
      <c r="H78" s="76"/>
      <c r="I78" s="76"/>
      <c r="J78" s="76"/>
      <c r="K78" s="76"/>
      <c r="L78" s="76"/>
      <c r="M78" s="76"/>
      <c r="N78" s="76"/>
      <c r="O78" s="76"/>
      <c r="P78" s="76"/>
      <c r="Q78" s="76"/>
      <c r="R78" s="76"/>
      <c r="S78" s="76"/>
      <c r="T78" s="76"/>
      <c r="U78" s="76"/>
      <c r="V78" s="76"/>
      <c r="W78" s="76"/>
      <c r="X78" s="76"/>
      <c r="Y78" s="76"/>
      <c r="Z78" s="76"/>
      <c r="AA78" s="76"/>
      <c r="AB78" s="76"/>
    </row>
    <row r="79" spans="6:28">
      <c r="F79" s="76"/>
      <c r="G79" s="76"/>
      <c r="H79" s="76"/>
      <c r="I79" s="76"/>
      <c r="J79" s="76"/>
      <c r="K79" s="76"/>
      <c r="L79" s="76"/>
      <c r="M79" s="76"/>
      <c r="N79" s="76"/>
      <c r="O79" s="76"/>
      <c r="P79" s="76"/>
      <c r="Q79" s="76"/>
      <c r="R79" s="76"/>
      <c r="S79" s="76"/>
      <c r="T79" s="76"/>
      <c r="U79" s="76"/>
      <c r="V79" s="76"/>
      <c r="W79" s="76"/>
      <c r="X79" s="76"/>
      <c r="Y79" s="76"/>
      <c r="Z79" s="76"/>
      <c r="AA79" s="76"/>
      <c r="AB79" s="76"/>
    </row>
    <row r="80" spans="6:28">
      <c r="F80" s="76"/>
      <c r="G80" s="76"/>
      <c r="H80" s="76"/>
      <c r="I80" s="76"/>
      <c r="J80" s="76"/>
      <c r="K80" s="76"/>
      <c r="L80" s="76"/>
      <c r="M80" s="76"/>
      <c r="N80" s="76"/>
      <c r="O80" s="76"/>
      <c r="P80" s="76"/>
      <c r="Q80" s="76"/>
      <c r="R80" s="76"/>
      <c r="S80" s="76"/>
      <c r="T80" s="76"/>
      <c r="U80" s="76"/>
      <c r="V80" s="76"/>
      <c r="W80" s="76"/>
      <c r="X80" s="76"/>
      <c r="Y80" s="76"/>
      <c r="Z80" s="76"/>
      <c r="AA80" s="76"/>
      <c r="AB80" s="76"/>
    </row>
    <row r="81" spans="6:28">
      <c r="F81" s="76"/>
      <c r="G81" s="76"/>
      <c r="H81" s="76"/>
      <c r="I81" s="76"/>
      <c r="J81" s="76"/>
      <c r="K81" s="76"/>
      <c r="L81" s="76"/>
      <c r="M81" s="76"/>
      <c r="N81" s="76"/>
      <c r="O81" s="76"/>
      <c r="P81" s="76"/>
      <c r="Q81" s="76"/>
      <c r="R81" s="76"/>
      <c r="S81" s="76"/>
      <c r="T81" s="76"/>
      <c r="U81" s="76"/>
      <c r="V81" s="76"/>
      <c r="W81" s="76"/>
      <c r="X81" s="76"/>
      <c r="Y81" s="76"/>
      <c r="Z81" s="76"/>
      <c r="AA81" s="76"/>
      <c r="AB81" s="76"/>
    </row>
    <row r="82" spans="6:28">
      <c r="F82" s="76"/>
      <c r="G82" s="76"/>
      <c r="H82" s="76"/>
      <c r="I82" s="76"/>
      <c r="J82" s="76"/>
      <c r="K82" s="76"/>
      <c r="L82" s="76"/>
      <c r="M82" s="76"/>
      <c r="N82" s="76"/>
      <c r="O82" s="76"/>
      <c r="P82" s="76"/>
      <c r="Q82" s="76"/>
      <c r="R82" s="76"/>
      <c r="S82" s="76"/>
      <c r="T82" s="76"/>
      <c r="U82" s="76"/>
      <c r="V82" s="76"/>
      <c r="W82" s="76"/>
      <c r="X82" s="76"/>
      <c r="Y82" s="76"/>
      <c r="Z82" s="76"/>
      <c r="AA82" s="76"/>
      <c r="AB82" s="76"/>
    </row>
    <row r="83" spans="6:28">
      <c r="F83" s="76"/>
      <c r="G83" s="76"/>
      <c r="H83" s="76"/>
      <c r="I83" s="76"/>
      <c r="J83" s="76"/>
      <c r="K83" s="76"/>
      <c r="L83" s="76"/>
      <c r="M83" s="76"/>
      <c r="N83" s="76"/>
      <c r="O83" s="76"/>
      <c r="P83" s="76"/>
      <c r="Q83" s="76"/>
      <c r="R83" s="76"/>
      <c r="S83" s="76"/>
      <c r="T83" s="76"/>
      <c r="U83" s="76"/>
      <c r="V83" s="76"/>
      <c r="W83" s="76"/>
      <c r="X83" s="76"/>
      <c r="Y83" s="76"/>
      <c r="Z83" s="76"/>
      <c r="AA83" s="76"/>
      <c r="AB83" s="76"/>
    </row>
    <row r="84" spans="6:28">
      <c r="F84" s="76"/>
      <c r="G84" s="76"/>
      <c r="H84" s="76"/>
      <c r="I84" s="76"/>
      <c r="J84" s="76"/>
      <c r="K84" s="76"/>
      <c r="L84" s="76"/>
      <c r="M84" s="76"/>
      <c r="N84" s="76"/>
      <c r="O84" s="76"/>
      <c r="P84" s="76"/>
      <c r="Q84" s="76"/>
      <c r="R84" s="76"/>
      <c r="S84" s="76"/>
      <c r="T84" s="76"/>
      <c r="U84" s="76"/>
      <c r="V84" s="76"/>
      <c r="W84" s="76"/>
      <c r="X84" s="76"/>
      <c r="Y84" s="76"/>
      <c r="Z84" s="76"/>
      <c r="AA84" s="76"/>
      <c r="AB84" s="76"/>
    </row>
    <row r="85" spans="6:28">
      <c r="F85" s="76"/>
      <c r="G85" s="76"/>
      <c r="H85" s="76"/>
      <c r="I85" s="76"/>
      <c r="J85" s="76"/>
      <c r="K85" s="76"/>
      <c r="L85" s="76"/>
      <c r="M85" s="76"/>
      <c r="N85" s="76"/>
      <c r="O85" s="76"/>
      <c r="P85" s="76"/>
      <c r="Q85" s="76"/>
      <c r="R85" s="76"/>
      <c r="S85" s="76"/>
      <c r="T85" s="76"/>
      <c r="U85" s="76"/>
      <c r="V85" s="76"/>
      <c r="W85" s="76"/>
      <c r="X85" s="76"/>
      <c r="Y85" s="76"/>
      <c r="Z85" s="76"/>
      <c r="AA85" s="76"/>
      <c r="AB85" s="76"/>
    </row>
    <row r="86" spans="6:28">
      <c r="F86" s="76"/>
      <c r="G86" s="76"/>
      <c r="H86" s="76"/>
      <c r="I86" s="76"/>
      <c r="J86" s="76"/>
      <c r="K86" s="76"/>
      <c r="L86" s="76"/>
      <c r="M86" s="76"/>
      <c r="N86" s="76"/>
      <c r="O86" s="76"/>
      <c r="P86" s="76"/>
      <c r="Q86" s="76"/>
      <c r="R86" s="76"/>
      <c r="S86" s="76"/>
      <c r="T86" s="76"/>
      <c r="U86" s="76"/>
      <c r="V86" s="76"/>
      <c r="W86" s="76"/>
      <c r="X86" s="76"/>
      <c r="Y86" s="76"/>
      <c r="Z86" s="76"/>
      <c r="AA86" s="76"/>
      <c r="AB86" s="76"/>
    </row>
    <row r="87" spans="6:28">
      <c r="F87" s="76"/>
      <c r="G87" s="76"/>
      <c r="H87" s="76"/>
      <c r="I87" s="76"/>
      <c r="J87" s="76"/>
      <c r="K87" s="76"/>
      <c r="L87" s="76"/>
      <c r="M87" s="76"/>
      <c r="N87" s="76"/>
      <c r="O87" s="76"/>
      <c r="P87" s="76"/>
      <c r="Q87" s="76"/>
      <c r="R87" s="76"/>
      <c r="S87" s="76"/>
      <c r="T87" s="76"/>
      <c r="U87" s="76"/>
      <c r="V87" s="76"/>
      <c r="W87" s="76"/>
      <c r="X87" s="76"/>
      <c r="Y87" s="76"/>
      <c r="Z87" s="76"/>
      <c r="AA87" s="76"/>
      <c r="AB87" s="76"/>
    </row>
    <row r="88" spans="6:28">
      <c r="F88" s="76"/>
      <c r="G88" s="76"/>
      <c r="H88" s="76"/>
      <c r="I88" s="76"/>
      <c r="J88" s="76"/>
      <c r="K88" s="76"/>
      <c r="L88" s="76"/>
      <c r="M88" s="76"/>
      <c r="N88" s="76"/>
      <c r="O88" s="76"/>
      <c r="P88" s="76"/>
      <c r="Q88" s="76"/>
      <c r="R88" s="76"/>
      <c r="S88" s="76"/>
      <c r="T88" s="76"/>
      <c r="U88" s="76"/>
      <c r="V88" s="76"/>
      <c r="W88" s="76"/>
      <c r="X88" s="76"/>
      <c r="Y88" s="76"/>
      <c r="Z88" s="76"/>
      <c r="AA88" s="76"/>
      <c r="AB88" s="76"/>
    </row>
    <row r="89" spans="6:28">
      <c r="F89" s="76"/>
      <c r="G89" s="76"/>
      <c r="H89" s="76"/>
      <c r="I89" s="76"/>
      <c r="J89" s="76"/>
      <c r="K89" s="76"/>
      <c r="L89" s="76"/>
      <c r="M89" s="76"/>
      <c r="N89" s="76"/>
      <c r="O89" s="76"/>
      <c r="P89" s="76"/>
      <c r="Q89" s="76"/>
      <c r="R89" s="76"/>
      <c r="S89" s="76"/>
      <c r="T89" s="76"/>
      <c r="U89" s="76"/>
      <c r="V89" s="76"/>
      <c r="W89" s="76"/>
      <c r="X89" s="76"/>
      <c r="Y89" s="76"/>
      <c r="Z89" s="76"/>
      <c r="AA89" s="76"/>
      <c r="AB89" s="76"/>
    </row>
    <row r="90" spans="6:28">
      <c r="F90" s="76"/>
      <c r="G90" s="76"/>
      <c r="H90" s="76"/>
      <c r="I90" s="76"/>
      <c r="J90" s="76"/>
      <c r="K90" s="76"/>
      <c r="L90" s="76"/>
      <c r="M90" s="76"/>
      <c r="N90" s="76"/>
      <c r="O90" s="76"/>
      <c r="P90" s="76"/>
      <c r="Q90" s="76"/>
      <c r="R90" s="76"/>
      <c r="S90" s="76"/>
      <c r="T90" s="76"/>
      <c r="U90" s="76"/>
      <c r="V90" s="76"/>
      <c r="W90" s="76"/>
      <c r="X90" s="76"/>
      <c r="Y90" s="76"/>
      <c r="Z90" s="76"/>
      <c r="AA90" s="76"/>
      <c r="AB90" s="76"/>
    </row>
    <row r="91" spans="6:28">
      <c r="F91" s="76"/>
      <c r="G91" s="76"/>
      <c r="H91" s="76"/>
      <c r="I91" s="76"/>
      <c r="J91" s="76"/>
      <c r="K91" s="76"/>
      <c r="L91" s="76"/>
      <c r="M91" s="76"/>
      <c r="N91" s="76"/>
      <c r="O91" s="76"/>
      <c r="P91" s="76"/>
      <c r="Q91" s="76"/>
      <c r="R91" s="76"/>
      <c r="S91" s="76"/>
      <c r="T91" s="76"/>
      <c r="U91" s="76"/>
      <c r="V91" s="76"/>
      <c r="W91" s="76"/>
      <c r="X91" s="76"/>
      <c r="Y91" s="76"/>
      <c r="Z91" s="76"/>
      <c r="AA91" s="76"/>
      <c r="AB91" s="76"/>
    </row>
    <row r="92" spans="6:28">
      <c r="F92" s="76"/>
      <c r="G92" s="76"/>
      <c r="H92" s="76"/>
      <c r="I92" s="76"/>
      <c r="J92" s="76"/>
      <c r="K92" s="76"/>
      <c r="L92" s="76"/>
      <c r="M92" s="76"/>
      <c r="N92" s="76"/>
      <c r="O92" s="76"/>
      <c r="P92" s="76"/>
      <c r="Q92" s="76"/>
      <c r="R92" s="76"/>
      <c r="S92" s="76"/>
      <c r="T92" s="76"/>
      <c r="U92" s="76"/>
      <c r="V92" s="76"/>
      <c r="W92" s="76"/>
      <c r="X92" s="76"/>
      <c r="Y92" s="76"/>
      <c r="Z92" s="76"/>
      <c r="AA92" s="76"/>
      <c r="AB92" s="76"/>
    </row>
    <row r="93" spans="6:28">
      <c r="F93" s="76"/>
      <c r="G93" s="76"/>
      <c r="H93" s="76"/>
      <c r="I93" s="76"/>
      <c r="J93" s="76"/>
      <c r="K93" s="76"/>
      <c r="L93" s="76"/>
      <c r="M93" s="76"/>
      <c r="N93" s="76"/>
      <c r="O93" s="76"/>
      <c r="P93" s="76"/>
      <c r="Q93" s="76"/>
      <c r="R93" s="76"/>
      <c r="S93" s="76"/>
      <c r="T93" s="76"/>
      <c r="U93" s="76"/>
      <c r="V93" s="76"/>
      <c r="W93" s="76"/>
      <c r="X93" s="76"/>
      <c r="Y93" s="76"/>
      <c r="Z93" s="76"/>
      <c r="AA93" s="76"/>
      <c r="AB93" s="76"/>
    </row>
    <row r="94" spans="6:28">
      <c r="F94" s="76"/>
      <c r="G94" s="76"/>
      <c r="H94" s="76"/>
      <c r="I94" s="76"/>
      <c r="J94" s="76"/>
      <c r="K94" s="76"/>
      <c r="L94" s="76"/>
      <c r="M94" s="76"/>
      <c r="N94" s="76"/>
      <c r="O94" s="76"/>
      <c r="P94" s="76"/>
      <c r="Q94" s="76"/>
      <c r="R94" s="76"/>
      <c r="S94" s="76"/>
      <c r="T94" s="76"/>
      <c r="U94" s="76"/>
      <c r="V94" s="76"/>
      <c r="W94" s="76"/>
      <c r="X94" s="76"/>
      <c r="Y94" s="76"/>
      <c r="Z94" s="76"/>
      <c r="AA94" s="76"/>
      <c r="AB94" s="76"/>
    </row>
    <row r="95" spans="6:28">
      <c r="F95" s="76"/>
      <c r="G95" s="76"/>
      <c r="H95" s="76"/>
      <c r="I95" s="76"/>
      <c r="J95" s="76"/>
      <c r="K95" s="76"/>
      <c r="L95" s="76"/>
      <c r="M95" s="76"/>
      <c r="N95" s="76"/>
      <c r="O95" s="76"/>
      <c r="P95" s="76"/>
      <c r="Q95" s="76"/>
      <c r="R95" s="76"/>
      <c r="S95" s="76"/>
      <c r="T95" s="76"/>
      <c r="U95" s="76"/>
      <c r="V95" s="76"/>
      <c r="W95" s="76"/>
      <c r="X95" s="76"/>
      <c r="Y95" s="76"/>
      <c r="Z95" s="76"/>
      <c r="AA95" s="76"/>
      <c r="AB95" s="76"/>
    </row>
    <row r="96" spans="6:28">
      <c r="F96" s="76"/>
      <c r="G96" s="76"/>
      <c r="H96" s="76"/>
      <c r="I96" s="76"/>
      <c r="J96" s="76"/>
      <c r="K96" s="76"/>
      <c r="L96" s="76"/>
      <c r="M96" s="76"/>
      <c r="N96" s="76"/>
      <c r="O96" s="76"/>
      <c r="P96" s="76"/>
      <c r="Q96" s="76"/>
      <c r="R96" s="76"/>
      <c r="S96" s="76"/>
      <c r="T96" s="76"/>
      <c r="U96" s="76"/>
      <c r="V96" s="76"/>
      <c r="W96" s="76"/>
      <c r="X96" s="76"/>
      <c r="Y96" s="76"/>
      <c r="Z96" s="76"/>
      <c r="AA96" s="76"/>
      <c r="AB96" s="76"/>
    </row>
    <row r="97" spans="6:28">
      <c r="F97" s="76"/>
      <c r="G97" s="76"/>
      <c r="H97" s="76"/>
      <c r="I97" s="76"/>
      <c r="J97" s="76"/>
      <c r="K97" s="76"/>
      <c r="L97" s="76"/>
      <c r="M97" s="76"/>
      <c r="N97" s="76"/>
      <c r="O97" s="76"/>
      <c r="P97" s="76"/>
      <c r="Q97" s="76"/>
      <c r="R97" s="76"/>
      <c r="S97" s="76"/>
      <c r="T97" s="76"/>
      <c r="U97" s="76"/>
      <c r="V97" s="76"/>
      <c r="W97" s="76"/>
      <c r="X97" s="76"/>
      <c r="Y97" s="76"/>
      <c r="Z97" s="76"/>
      <c r="AA97" s="76"/>
      <c r="AB97" s="76"/>
    </row>
    <row r="98" spans="6:28">
      <c r="F98" s="76"/>
      <c r="G98" s="76"/>
      <c r="H98" s="76"/>
      <c r="I98" s="76"/>
      <c r="J98" s="76"/>
      <c r="K98" s="76"/>
      <c r="L98" s="76"/>
      <c r="M98" s="76"/>
      <c r="N98" s="76"/>
      <c r="O98" s="76"/>
      <c r="P98" s="76"/>
      <c r="Q98" s="76"/>
      <c r="R98" s="76"/>
      <c r="S98" s="76"/>
      <c r="T98" s="76"/>
      <c r="U98" s="76"/>
      <c r="V98" s="76"/>
      <c r="W98" s="76"/>
      <c r="X98" s="76"/>
      <c r="Y98" s="76"/>
      <c r="Z98" s="76"/>
      <c r="AA98" s="76"/>
      <c r="AB98" s="76"/>
    </row>
    <row r="99" spans="6:28">
      <c r="F99" s="76"/>
      <c r="G99" s="76"/>
      <c r="H99" s="76"/>
      <c r="I99" s="76"/>
      <c r="J99" s="76"/>
      <c r="K99" s="76"/>
      <c r="L99" s="76"/>
      <c r="M99" s="76"/>
      <c r="N99" s="76"/>
      <c r="O99" s="76"/>
      <c r="P99" s="76"/>
      <c r="Q99" s="76"/>
      <c r="R99" s="76"/>
      <c r="S99" s="76"/>
      <c r="T99" s="76"/>
      <c r="U99" s="76"/>
      <c r="V99" s="76"/>
      <c r="W99" s="76"/>
      <c r="X99" s="76"/>
      <c r="Y99" s="76"/>
      <c r="Z99" s="76"/>
      <c r="AA99" s="76"/>
      <c r="AB99" s="76"/>
    </row>
    <row r="100" spans="6:28">
      <c r="F100" s="76"/>
      <c r="G100" s="76"/>
      <c r="H100" s="76"/>
      <c r="I100" s="76"/>
      <c r="J100" s="76"/>
      <c r="K100" s="76"/>
      <c r="L100" s="76"/>
      <c r="M100" s="76"/>
      <c r="N100" s="76"/>
      <c r="O100" s="76"/>
      <c r="P100" s="76"/>
      <c r="Q100" s="76"/>
      <c r="R100" s="76"/>
      <c r="S100" s="76"/>
      <c r="T100" s="76"/>
      <c r="U100" s="76"/>
      <c r="V100" s="76"/>
      <c r="W100" s="76"/>
      <c r="X100" s="76"/>
      <c r="Y100" s="76"/>
      <c r="Z100" s="76"/>
      <c r="AA100" s="76"/>
      <c r="AB100" s="76"/>
    </row>
    <row r="101" spans="6:28">
      <c r="F101" s="76"/>
      <c r="G101" s="76"/>
      <c r="H101" s="76"/>
      <c r="I101" s="76"/>
      <c r="J101" s="76"/>
      <c r="K101" s="76"/>
      <c r="L101" s="76"/>
      <c r="M101" s="76"/>
      <c r="N101" s="76"/>
      <c r="O101" s="76"/>
      <c r="P101" s="76"/>
      <c r="Q101" s="76"/>
      <c r="R101" s="76"/>
      <c r="S101" s="76"/>
      <c r="T101" s="76"/>
      <c r="U101" s="76"/>
      <c r="V101" s="76"/>
      <c r="W101" s="76"/>
      <c r="X101" s="76"/>
      <c r="Y101" s="76"/>
      <c r="Z101" s="76"/>
      <c r="AA101" s="76"/>
      <c r="AB101" s="76"/>
    </row>
    <row r="102" spans="6:28">
      <c r="F102" s="76"/>
      <c r="G102" s="76"/>
      <c r="H102" s="76"/>
      <c r="I102" s="76"/>
      <c r="J102" s="76"/>
      <c r="K102" s="76"/>
      <c r="L102" s="76"/>
      <c r="M102" s="76"/>
      <c r="N102" s="76"/>
      <c r="O102" s="76"/>
      <c r="P102" s="76"/>
      <c r="Q102" s="76"/>
      <c r="R102" s="76"/>
      <c r="S102" s="76"/>
      <c r="T102" s="76"/>
      <c r="U102" s="76"/>
      <c r="V102" s="76"/>
      <c r="W102" s="76"/>
      <c r="X102" s="76"/>
      <c r="Y102" s="76"/>
      <c r="Z102" s="76"/>
      <c r="AA102" s="76"/>
      <c r="AB102" s="76"/>
    </row>
    <row r="103" spans="6:28">
      <c r="F103" s="76"/>
      <c r="G103" s="76"/>
      <c r="H103" s="76"/>
      <c r="I103" s="76"/>
      <c r="J103" s="76"/>
      <c r="K103" s="76"/>
      <c r="L103" s="76"/>
      <c r="M103" s="76"/>
      <c r="N103" s="76"/>
      <c r="O103" s="76"/>
      <c r="P103" s="76"/>
      <c r="Q103" s="76"/>
      <c r="R103" s="76"/>
      <c r="S103" s="76"/>
      <c r="T103" s="76"/>
      <c r="U103" s="76"/>
      <c r="V103" s="76"/>
      <c r="W103" s="76"/>
      <c r="X103" s="76"/>
      <c r="Y103" s="76"/>
      <c r="Z103" s="76"/>
      <c r="AA103" s="76"/>
      <c r="AB103" s="76"/>
    </row>
    <row r="104" spans="6:28">
      <c r="F104" s="76"/>
      <c r="G104" s="76"/>
      <c r="H104" s="76"/>
      <c r="I104" s="76"/>
      <c r="J104" s="76"/>
      <c r="K104" s="76"/>
      <c r="L104" s="76"/>
      <c r="M104" s="76"/>
      <c r="N104" s="76"/>
      <c r="O104" s="76"/>
      <c r="P104" s="76"/>
      <c r="Q104" s="76"/>
      <c r="R104" s="76"/>
      <c r="S104" s="76"/>
      <c r="T104" s="76"/>
      <c r="U104" s="76"/>
      <c r="V104" s="76"/>
      <c r="W104" s="76"/>
      <c r="X104" s="76"/>
      <c r="Y104" s="76"/>
      <c r="Z104" s="76"/>
      <c r="AA104" s="76"/>
      <c r="AB104" s="76"/>
    </row>
    <row r="105" spans="6:28">
      <c r="F105" s="76"/>
      <c r="G105" s="76"/>
      <c r="H105" s="76"/>
      <c r="I105" s="76"/>
      <c r="J105" s="76"/>
      <c r="K105" s="76"/>
      <c r="L105" s="76"/>
      <c r="M105" s="76"/>
      <c r="N105" s="76"/>
      <c r="O105" s="76"/>
      <c r="P105" s="76"/>
      <c r="Q105" s="76"/>
      <c r="R105" s="76"/>
      <c r="S105" s="76"/>
      <c r="T105" s="76"/>
      <c r="U105" s="76"/>
      <c r="V105" s="76"/>
      <c r="W105" s="76"/>
      <c r="X105" s="76"/>
      <c r="Y105" s="76"/>
      <c r="Z105" s="76"/>
      <c r="AA105" s="76"/>
      <c r="AB105" s="76"/>
    </row>
    <row r="106" spans="6:28">
      <c r="F106" s="76"/>
      <c r="G106" s="76"/>
      <c r="H106" s="76"/>
      <c r="I106" s="76"/>
      <c r="J106" s="76"/>
      <c r="K106" s="76"/>
      <c r="L106" s="76"/>
      <c r="M106" s="76"/>
      <c r="N106" s="76"/>
      <c r="O106" s="76"/>
      <c r="P106" s="76"/>
      <c r="Q106" s="76"/>
      <c r="R106" s="76"/>
      <c r="S106" s="76"/>
      <c r="T106" s="76"/>
      <c r="U106" s="76"/>
      <c r="V106" s="76"/>
      <c r="W106" s="76"/>
      <c r="X106" s="76"/>
      <c r="Y106" s="76"/>
      <c r="Z106" s="76"/>
      <c r="AA106" s="76"/>
      <c r="AB106" s="76"/>
    </row>
    <row r="107" spans="6:28">
      <c r="F107" s="76"/>
      <c r="G107" s="76"/>
      <c r="H107" s="76"/>
      <c r="I107" s="76"/>
      <c r="J107" s="76"/>
      <c r="K107" s="76"/>
      <c r="L107" s="76"/>
      <c r="M107" s="76"/>
      <c r="N107" s="76"/>
      <c r="O107" s="76"/>
      <c r="P107" s="76"/>
      <c r="Q107" s="76"/>
      <c r="R107" s="76"/>
      <c r="S107" s="76"/>
      <c r="T107" s="76"/>
      <c r="U107" s="76"/>
      <c r="V107" s="76"/>
      <c r="W107" s="76"/>
      <c r="X107" s="76"/>
      <c r="Y107" s="76"/>
      <c r="Z107" s="76"/>
      <c r="AA107" s="76"/>
      <c r="AB107" s="76"/>
    </row>
    <row r="108" spans="6:28">
      <c r="F108" s="76"/>
      <c r="G108" s="76"/>
      <c r="H108" s="76"/>
      <c r="I108" s="76"/>
      <c r="J108" s="76"/>
      <c r="K108" s="76"/>
      <c r="L108" s="76"/>
      <c r="M108" s="76"/>
      <c r="N108" s="76"/>
      <c r="O108" s="76"/>
      <c r="P108" s="76"/>
      <c r="Q108" s="76"/>
      <c r="R108" s="76"/>
      <c r="S108" s="76"/>
      <c r="T108" s="76"/>
      <c r="U108" s="76"/>
      <c r="V108" s="76"/>
      <c r="W108" s="76"/>
      <c r="X108" s="76"/>
      <c r="Y108" s="76"/>
      <c r="Z108" s="76"/>
      <c r="AA108" s="76"/>
      <c r="AB108" s="76"/>
    </row>
    <row r="109" spans="6:28">
      <c r="F109" s="76"/>
      <c r="G109" s="76"/>
      <c r="H109" s="76"/>
      <c r="I109" s="76"/>
      <c r="J109" s="76"/>
      <c r="K109" s="76"/>
      <c r="L109" s="76"/>
      <c r="M109" s="76"/>
      <c r="N109" s="76"/>
      <c r="O109" s="76"/>
      <c r="P109" s="76"/>
      <c r="Q109" s="76"/>
      <c r="R109" s="76"/>
      <c r="S109" s="76"/>
      <c r="T109" s="76"/>
      <c r="U109" s="76"/>
      <c r="V109" s="76"/>
      <c r="W109" s="76"/>
      <c r="X109" s="76"/>
      <c r="Y109" s="76"/>
      <c r="Z109" s="76"/>
      <c r="AA109" s="76"/>
      <c r="AB109" s="76"/>
    </row>
    <row r="110" spans="6:28">
      <c r="F110" s="76"/>
      <c r="G110" s="76"/>
      <c r="H110" s="76"/>
      <c r="I110" s="76"/>
      <c r="J110" s="76"/>
      <c r="K110" s="76"/>
      <c r="L110" s="76"/>
      <c r="M110" s="76"/>
      <c r="N110" s="76"/>
      <c r="O110" s="76"/>
      <c r="P110" s="76"/>
      <c r="Q110" s="76"/>
      <c r="R110" s="76"/>
      <c r="S110" s="76"/>
      <c r="T110" s="76"/>
      <c r="U110" s="76"/>
      <c r="V110" s="76"/>
      <c r="W110" s="76"/>
      <c r="X110" s="76"/>
      <c r="Y110" s="76"/>
      <c r="Z110" s="76"/>
      <c r="AA110" s="76"/>
      <c r="AB110" s="76"/>
    </row>
    <row r="111" spans="6:28">
      <c r="F111" s="76"/>
      <c r="G111" s="76"/>
      <c r="H111" s="76"/>
      <c r="I111" s="76"/>
      <c r="J111" s="76"/>
      <c r="K111" s="76"/>
      <c r="L111" s="76"/>
      <c r="M111" s="76"/>
      <c r="N111" s="76"/>
      <c r="O111" s="76"/>
      <c r="P111" s="76"/>
      <c r="Q111" s="76"/>
      <c r="R111" s="76"/>
      <c r="S111" s="76"/>
      <c r="T111" s="76"/>
      <c r="U111" s="76"/>
      <c r="V111" s="76"/>
      <c r="W111" s="76"/>
      <c r="X111" s="76"/>
      <c r="Y111" s="76"/>
      <c r="Z111" s="76"/>
      <c r="AA111" s="76"/>
      <c r="AB111" s="76"/>
    </row>
    <row r="112" spans="6:28">
      <c r="F112" s="76"/>
      <c r="G112" s="76"/>
      <c r="H112" s="76"/>
      <c r="I112" s="76"/>
      <c r="J112" s="76"/>
      <c r="K112" s="76"/>
      <c r="L112" s="76"/>
      <c r="M112" s="76"/>
      <c r="N112" s="76"/>
      <c r="O112" s="76"/>
      <c r="P112" s="76"/>
      <c r="Q112" s="76"/>
      <c r="R112" s="76"/>
      <c r="S112" s="76"/>
      <c r="T112" s="76"/>
      <c r="U112" s="76"/>
      <c r="V112" s="76"/>
      <c r="W112" s="76"/>
      <c r="X112" s="76"/>
      <c r="Y112" s="76"/>
      <c r="Z112" s="76"/>
      <c r="AA112" s="76"/>
      <c r="AB112" s="76"/>
    </row>
    <row r="113" spans="6:28">
      <c r="F113" s="76"/>
      <c r="G113" s="76"/>
      <c r="H113" s="76"/>
      <c r="I113" s="76"/>
      <c r="J113" s="76"/>
      <c r="K113" s="76"/>
      <c r="L113" s="76"/>
      <c r="M113" s="76"/>
      <c r="N113" s="76"/>
      <c r="O113" s="76"/>
      <c r="P113" s="76"/>
      <c r="Q113" s="76"/>
      <c r="R113" s="76"/>
      <c r="S113" s="76"/>
      <c r="T113" s="76"/>
      <c r="U113" s="76"/>
      <c r="V113" s="76"/>
      <c r="W113" s="76"/>
      <c r="X113" s="76"/>
      <c r="Y113" s="76"/>
      <c r="Z113" s="76"/>
      <c r="AA113" s="76"/>
      <c r="AB113" s="76"/>
    </row>
    <row r="114" spans="6:28">
      <c r="F114" s="76"/>
      <c r="G114" s="76"/>
      <c r="H114" s="76"/>
      <c r="I114" s="76"/>
      <c r="J114" s="76"/>
      <c r="K114" s="76"/>
      <c r="L114" s="76"/>
      <c r="M114" s="76"/>
      <c r="N114" s="76"/>
      <c r="O114" s="76"/>
      <c r="P114" s="76"/>
      <c r="Q114" s="76"/>
      <c r="R114" s="76"/>
      <c r="S114" s="76"/>
      <c r="T114" s="76"/>
      <c r="U114" s="76"/>
      <c r="V114" s="76"/>
      <c r="W114" s="76"/>
      <c r="X114" s="76"/>
      <c r="Y114" s="76"/>
      <c r="Z114" s="76"/>
      <c r="AA114" s="76"/>
      <c r="AB114" s="76"/>
    </row>
    <row r="115" spans="6:28">
      <c r="F115" s="76"/>
      <c r="G115" s="76"/>
      <c r="H115" s="76"/>
      <c r="I115" s="76"/>
      <c r="J115" s="76"/>
      <c r="K115" s="76"/>
      <c r="L115" s="76"/>
      <c r="M115" s="76"/>
      <c r="N115" s="76"/>
      <c r="O115" s="76"/>
      <c r="P115" s="76"/>
      <c r="Q115" s="76"/>
      <c r="R115" s="76"/>
      <c r="S115" s="76"/>
      <c r="T115" s="76"/>
      <c r="U115" s="76"/>
      <c r="V115" s="76"/>
      <c r="W115" s="76"/>
      <c r="X115" s="76"/>
      <c r="Y115" s="76"/>
      <c r="Z115" s="76"/>
      <c r="AA115" s="76"/>
      <c r="AB115" s="76"/>
    </row>
    <row r="116" spans="6:28">
      <c r="F116" s="76"/>
      <c r="G116" s="76"/>
      <c r="H116" s="76"/>
      <c r="I116" s="76"/>
      <c r="J116" s="76"/>
      <c r="K116" s="76"/>
      <c r="L116" s="76"/>
      <c r="M116" s="76"/>
      <c r="N116" s="76"/>
      <c r="O116" s="76"/>
      <c r="P116" s="76"/>
      <c r="Q116" s="76"/>
      <c r="R116" s="76"/>
      <c r="S116" s="76"/>
      <c r="T116" s="76"/>
      <c r="U116" s="76"/>
      <c r="V116" s="76"/>
      <c r="W116" s="76"/>
      <c r="X116" s="76"/>
      <c r="Y116" s="76"/>
      <c r="Z116" s="76"/>
      <c r="AA116" s="76"/>
      <c r="AB116" s="76"/>
    </row>
    <row r="117" spans="6:28">
      <c r="F117" s="76"/>
      <c r="G117" s="76"/>
      <c r="H117" s="76"/>
      <c r="I117" s="76"/>
      <c r="J117" s="76"/>
      <c r="K117" s="76"/>
      <c r="L117" s="76"/>
      <c r="M117" s="76"/>
      <c r="N117" s="76"/>
      <c r="O117" s="76"/>
      <c r="P117" s="76"/>
      <c r="Q117" s="76"/>
      <c r="R117" s="76"/>
      <c r="S117" s="76"/>
      <c r="T117" s="76"/>
      <c r="U117" s="76"/>
      <c r="V117" s="76"/>
      <c r="W117" s="76"/>
      <c r="X117" s="76"/>
      <c r="Y117" s="76"/>
      <c r="Z117" s="76"/>
      <c r="AA117" s="76"/>
      <c r="AB117" s="76"/>
    </row>
    <row r="118" spans="6:28">
      <c r="F118" s="76"/>
      <c r="G118" s="76"/>
      <c r="H118" s="76"/>
      <c r="I118" s="76"/>
      <c r="J118" s="76"/>
      <c r="K118" s="76"/>
      <c r="L118" s="76"/>
      <c r="M118" s="76"/>
      <c r="N118" s="76"/>
      <c r="O118" s="76"/>
      <c r="P118" s="76"/>
      <c r="Q118" s="76"/>
      <c r="R118" s="76"/>
      <c r="S118" s="76"/>
      <c r="T118" s="76"/>
      <c r="U118" s="76"/>
      <c r="V118" s="76"/>
      <c r="W118" s="76"/>
      <c r="X118" s="76"/>
      <c r="Y118" s="76"/>
      <c r="Z118" s="76"/>
      <c r="AA118" s="76"/>
      <c r="AB118" s="76"/>
    </row>
    <row r="119" spans="6:28">
      <c r="F119" s="76"/>
      <c r="G119" s="76"/>
      <c r="H119" s="76"/>
      <c r="I119" s="76"/>
      <c r="J119" s="76"/>
      <c r="K119" s="76"/>
      <c r="L119" s="76"/>
      <c r="M119" s="76"/>
      <c r="N119" s="76"/>
      <c r="O119" s="76"/>
      <c r="P119" s="76"/>
      <c r="Q119" s="76"/>
      <c r="R119" s="76"/>
      <c r="S119" s="76"/>
      <c r="T119" s="76"/>
      <c r="U119" s="76"/>
      <c r="V119" s="76"/>
      <c r="W119" s="76"/>
      <c r="X119" s="76"/>
      <c r="Y119" s="76"/>
      <c r="Z119" s="76"/>
      <c r="AA119" s="76"/>
      <c r="AB119" s="76"/>
    </row>
    <row r="120" spans="6:28">
      <c r="F120" s="76"/>
      <c r="G120" s="76"/>
      <c r="H120" s="76"/>
      <c r="I120" s="76"/>
      <c r="J120" s="76"/>
      <c r="K120" s="76"/>
      <c r="L120" s="76"/>
      <c r="M120" s="76"/>
      <c r="N120" s="76"/>
      <c r="O120" s="76"/>
      <c r="P120" s="76"/>
      <c r="Q120" s="76"/>
      <c r="R120" s="76"/>
      <c r="S120" s="76"/>
      <c r="T120" s="76"/>
      <c r="U120" s="76"/>
      <c r="V120" s="76"/>
      <c r="W120" s="76"/>
      <c r="X120" s="76"/>
      <c r="Y120" s="76"/>
      <c r="Z120" s="76"/>
      <c r="AA120" s="76"/>
      <c r="AB120" s="76"/>
    </row>
    <row r="121" spans="6:28">
      <c r="F121" s="76"/>
      <c r="G121" s="76"/>
      <c r="H121" s="76"/>
      <c r="I121" s="76"/>
      <c r="J121" s="76"/>
      <c r="K121" s="76"/>
      <c r="L121" s="76"/>
      <c r="M121" s="76"/>
      <c r="N121" s="76"/>
      <c r="O121" s="76"/>
      <c r="P121" s="76"/>
      <c r="Q121" s="76"/>
      <c r="R121" s="76"/>
      <c r="S121" s="76"/>
      <c r="T121" s="76"/>
      <c r="U121" s="76"/>
      <c r="V121" s="76"/>
      <c r="W121" s="76"/>
      <c r="X121" s="76"/>
      <c r="Y121" s="76"/>
      <c r="Z121" s="76"/>
      <c r="AA121" s="76"/>
      <c r="AB121" s="76"/>
    </row>
    <row r="122" spans="6:28">
      <c r="F122" s="76"/>
      <c r="G122" s="76"/>
      <c r="H122" s="76"/>
      <c r="I122" s="76"/>
      <c r="J122" s="76"/>
      <c r="K122" s="76"/>
      <c r="L122" s="76"/>
      <c r="M122" s="76"/>
      <c r="N122" s="76"/>
      <c r="O122" s="76"/>
      <c r="P122" s="76"/>
      <c r="Q122" s="76"/>
      <c r="R122" s="76"/>
      <c r="S122" s="76"/>
      <c r="T122" s="76"/>
      <c r="U122" s="76"/>
      <c r="V122" s="76"/>
      <c r="W122" s="76"/>
      <c r="X122" s="76"/>
      <c r="Y122" s="76"/>
      <c r="Z122" s="76"/>
      <c r="AA122" s="76"/>
      <c r="AB122" s="76"/>
    </row>
    <row r="123" spans="6:28">
      <c r="F123" s="76"/>
      <c r="G123" s="76"/>
      <c r="H123" s="76"/>
      <c r="I123" s="76"/>
      <c r="J123" s="76"/>
      <c r="K123" s="76"/>
      <c r="L123" s="76"/>
      <c r="M123" s="76"/>
      <c r="N123" s="76"/>
      <c r="O123" s="76"/>
      <c r="P123" s="76"/>
      <c r="Q123" s="76"/>
      <c r="R123" s="76"/>
      <c r="S123" s="76"/>
      <c r="T123" s="76"/>
      <c r="U123" s="76"/>
      <c r="V123" s="76"/>
      <c r="W123" s="76"/>
      <c r="X123" s="76"/>
      <c r="Y123" s="76"/>
      <c r="Z123" s="76"/>
      <c r="AA123" s="76"/>
      <c r="AB123" s="76"/>
    </row>
    <row r="124" spans="6:28">
      <c r="F124" s="76"/>
      <c r="G124" s="76"/>
      <c r="H124" s="76"/>
      <c r="I124" s="76"/>
      <c r="J124" s="76"/>
      <c r="K124" s="76"/>
      <c r="L124" s="76"/>
      <c r="M124" s="76"/>
      <c r="N124" s="76"/>
      <c r="O124" s="76"/>
      <c r="P124" s="76"/>
      <c r="Q124" s="76"/>
      <c r="R124" s="76"/>
      <c r="S124" s="76"/>
      <c r="T124" s="76"/>
      <c r="U124" s="76"/>
      <c r="V124" s="76"/>
      <c r="W124" s="76"/>
      <c r="X124" s="76"/>
      <c r="Y124" s="76"/>
      <c r="Z124" s="76"/>
      <c r="AA124" s="76"/>
      <c r="AB124" s="76"/>
    </row>
    <row r="125" spans="6:28">
      <c r="F125" s="76"/>
      <c r="G125" s="76"/>
      <c r="H125" s="76"/>
      <c r="I125" s="76"/>
      <c r="J125" s="76"/>
      <c r="K125" s="76"/>
      <c r="L125" s="76"/>
      <c r="M125" s="76"/>
      <c r="N125" s="76"/>
      <c r="O125" s="76"/>
      <c r="P125" s="76"/>
      <c r="Q125" s="76"/>
      <c r="R125" s="76"/>
      <c r="S125" s="76"/>
      <c r="T125" s="76"/>
      <c r="U125" s="76"/>
      <c r="V125" s="76"/>
      <c r="W125" s="76"/>
      <c r="X125" s="76"/>
      <c r="Y125" s="76"/>
      <c r="Z125" s="76"/>
      <c r="AA125" s="76"/>
      <c r="AB125" s="76"/>
    </row>
    <row r="126" spans="6:28">
      <c r="F126" s="76"/>
      <c r="G126" s="76"/>
      <c r="H126" s="76"/>
      <c r="I126" s="76"/>
      <c r="J126" s="76"/>
      <c r="K126" s="76"/>
      <c r="L126" s="76"/>
      <c r="M126" s="76"/>
      <c r="N126" s="76"/>
      <c r="O126" s="76"/>
      <c r="P126" s="76"/>
      <c r="Q126" s="76"/>
      <c r="R126" s="76"/>
      <c r="S126" s="76"/>
      <c r="T126" s="76"/>
      <c r="U126" s="76"/>
      <c r="V126" s="76"/>
      <c r="W126" s="76"/>
      <c r="X126" s="76"/>
      <c r="Y126" s="76"/>
      <c r="Z126" s="76"/>
      <c r="AA126" s="76"/>
      <c r="AB126" s="76"/>
    </row>
    <row r="127" spans="6:28">
      <c r="F127" s="76"/>
      <c r="G127" s="76"/>
      <c r="H127" s="76"/>
      <c r="I127" s="76"/>
      <c r="J127" s="76"/>
      <c r="K127" s="76"/>
      <c r="L127" s="76"/>
      <c r="M127" s="76"/>
      <c r="N127" s="76"/>
      <c r="O127" s="76"/>
      <c r="P127" s="76"/>
      <c r="Q127" s="76"/>
      <c r="R127" s="76"/>
      <c r="S127" s="76"/>
      <c r="T127" s="76"/>
      <c r="U127" s="76"/>
      <c r="V127" s="76"/>
      <c r="W127" s="76"/>
      <c r="X127" s="76"/>
      <c r="Y127" s="76"/>
      <c r="Z127" s="76"/>
      <c r="AA127" s="76"/>
      <c r="AB127" s="76"/>
    </row>
    <row r="128" spans="6:28">
      <c r="F128" s="76"/>
      <c r="G128" s="76"/>
      <c r="H128" s="76"/>
      <c r="I128" s="76"/>
      <c r="J128" s="76"/>
      <c r="K128" s="76"/>
      <c r="L128" s="76"/>
      <c r="M128" s="76"/>
      <c r="N128" s="76"/>
      <c r="O128" s="76"/>
      <c r="P128" s="76"/>
      <c r="Q128" s="76"/>
      <c r="R128" s="76"/>
      <c r="S128" s="76"/>
      <c r="T128" s="76"/>
      <c r="U128" s="76"/>
      <c r="V128" s="76"/>
      <c r="W128" s="76"/>
      <c r="X128" s="76"/>
      <c r="Y128" s="76"/>
      <c r="Z128" s="76"/>
      <c r="AA128" s="76"/>
      <c r="AB128" s="76"/>
    </row>
    <row r="129" spans="6:28">
      <c r="F129" s="76"/>
      <c r="G129" s="76"/>
      <c r="H129" s="76"/>
      <c r="I129" s="76"/>
      <c r="J129" s="76"/>
      <c r="K129" s="76"/>
      <c r="L129" s="76"/>
      <c r="M129" s="76"/>
      <c r="N129" s="76"/>
      <c r="O129" s="76"/>
      <c r="P129" s="76"/>
      <c r="Q129" s="76"/>
      <c r="R129" s="76"/>
      <c r="S129" s="76"/>
      <c r="T129" s="76"/>
      <c r="U129" s="76"/>
      <c r="V129" s="76"/>
      <c r="W129" s="76"/>
      <c r="X129" s="76"/>
      <c r="Y129" s="76"/>
      <c r="Z129" s="76"/>
      <c r="AA129" s="76"/>
      <c r="AB129" s="76"/>
    </row>
    <row r="130" spans="6:28">
      <c r="F130" s="76"/>
      <c r="G130" s="76"/>
      <c r="H130" s="76"/>
      <c r="I130" s="76"/>
      <c r="J130" s="76"/>
      <c r="K130" s="76"/>
      <c r="L130" s="76"/>
      <c r="M130" s="76"/>
      <c r="N130" s="76"/>
      <c r="O130" s="76"/>
      <c r="P130" s="76"/>
      <c r="Q130" s="76"/>
      <c r="R130" s="76"/>
      <c r="S130" s="76"/>
      <c r="T130" s="76"/>
      <c r="U130" s="76"/>
      <c r="V130" s="76"/>
      <c r="W130" s="76"/>
      <c r="X130" s="76"/>
      <c r="Y130" s="76"/>
      <c r="Z130" s="76"/>
      <c r="AA130" s="76"/>
      <c r="AB130" s="76"/>
    </row>
    <row r="131" spans="6:28">
      <c r="F131" s="76"/>
      <c r="G131" s="76"/>
      <c r="H131" s="76"/>
      <c r="I131" s="76"/>
      <c r="J131" s="76"/>
      <c r="K131" s="76"/>
      <c r="L131" s="76"/>
      <c r="M131" s="76"/>
      <c r="N131" s="76"/>
      <c r="O131" s="76"/>
      <c r="P131" s="76"/>
      <c r="Q131" s="76"/>
      <c r="R131" s="76"/>
      <c r="S131" s="76"/>
      <c r="T131" s="76"/>
      <c r="U131" s="76"/>
      <c r="V131" s="76"/>
      <c r="W131" s="76"/>
      <c r="X131" s="76"/>
      <c r="Y131" s="76"/>
      <c r="Z131" s="76"/>
      <c r="AA131" s="76"/>
      <c r="AB131" s="76"/>
    </row>
    <row r="132" spans="6:28">
      <c r="F132" s="76"/>
      <c r="G132" s="76"/>
      <c r="H132" s="76"/>
      <c r="I132" s="76"/>
      <c r="J132" s="76"/>
      <c r="K132" s="76"/>
      <c r="L132" s="76"/>
      <c r="M132" s="76"/>
      <c r="N132" s="76"/>
      <c r="O132" s="76"/>
      <c r="P132" s="76"/>
      <c r="Q132" s="76"/>
      <c r="R132" s="76"/>
      <c r="S132" s="76"/>
      <c r="T132" s="76"/>
      <c r="U132" s="76"/>
      <c r="V132" s="76"/>
      <c r="W132" s="76"/>
      <c r="X132" s="76"/>
      <c r="Y132" s="76"/>
      <c r="Z132" s="76"/>
      <c r="AA132" s="76"/>
      <c r="AB132" s="76"/>
    </row>
    <row r="133" spans="6:28">
      <c r="F133" s="76"/>
      <c r="G133" s="76"/>
      <c r="H133" s="76"/>
      <c r="I133" s="76"/>
      <c r="J133" s="76"/>
      <c r="K133" s="76"/>
      <c r="L133" s="76"/>
      <c r="M133" s="76"/>
      <c r="N133" s="76"/>
      <c r="O133" s="76"/>
      <c r="P133" s="76"/>
      <c r="Q133" s="76"/>
      <c r="R133" s="76"/>
      <c r="S133" s="76"/>
      <c r="T133" s="76"/>
      <c r="U133" s="76"/>
      <c r="V133" s="76"/>
      <c r="W133" s="76"/>
      <c r="X133" s="76"/>
      <c r="Y133" s="76"/>
      <c r="Z133" s="76"/>
      <c r="AA133" s="76"/>
      <c r="AB133" s="76"/>
    </row>
    <row r="134" spans="6:28">
      <c r="F134" s="76"/>
      <c r="G134" s="76"/>
      <c r="H134" s="76"/>
      <c r="I134" s="76"/>
      <c r="J134" s="76"/>
      <c r="K134" s="76"/>
      <c r="L134" s="76"/>
      <c r="M134" s="76"/>
      <c r="N134" s="76"/>
      <c r="O134" s="76"/>
      <c r="P134" s="76"/>
      <c r="Q134" s="76"/>
      <c r="R134" s="76"/>
      <c r="S134" s="76"/>
      <c r="T134" s="76"/>
      <c r="U134" s="76"/>
      <c r="V134" s="76"/>
      <c r="W134" s="76"/>
      <c r="X134" s="76"/>
      <c r="Y134" s="76"/>
      <c r="Z134" s="76"/>
      <c r="AA134" s="76"/>
      <c r="AB134" s="76"/>
    </row>
    <row r="135" spans="6:28">
      <c r="F135" s="76"/>
      <c r="G135" s="76"/>
      <c r="H135" s="76"/>
      <c r="I135" s="76"/>
      <c r="J135" s="76"/>
      <c r="K135" s="76"/>
      <c r="L135" s="76"/>
      <c r="M135" s="76"/>
      <c r="N135" s="76"/>
      <c r="O135" s="76"/>
      <c r="P135" s="76"/>
      <c r="Q135" s="76"/>
      <c r="R135" s="76"/>
      <c r="S135" s="76"/>
      <c r="T135" s="76"/>
      <c r="U135" s="76"/>
      <c r="V135" s="76"/>
      <c r="W135" s="76"/>
      <c r="X135" s="76"/>
      <c r="Y135" s="76"/>
      <c r="Z135" s="76"/>
      <c r="AA135" s="76"/>
      <c r="AB135" s="76"/>
    </row>
    <row r="136" spans="6:28">
      <c r="F136" s="76"/>
      <c r="G136" s="76"/>
      <c r="H136" s="76"/>
      <c r="I136" s="76"/>
      <c r="J136" s="76"/>
      <c r="K136" s="76"/>
      <c r="L136" s="76"/>
      <c r="M136" s="76"/>
      <c r="N136" s="76"/>
      <c r="O136" s="76"/>
      <c r="P136" s="76"/>
      <c r="Q136" s="76"/>
      <c r="R136" s="76"/>
      <c r="S136" s="76"/>
      <c r="T136" s="76"/>
      <c r="U136" s="76"/>
      <c r="V136" s="76"/>
      <c r="W136" s="76"/>
      <c r="X136" s="76"/>
      <c r="Y136" s="76"/>
      <c r="Z136" s="76"/>
      <c r="AA136" s="76"/>
      <c r="AB136" s="76"/>
    </row>
    <row r="137" spans="6:28">
      <c r="F137" s="76"/>
      <c r="G137" s="76"/>
      <c r="H137" s="76"/>
      <c r="I137" s="76"/>
      <c r="J137" s="76"/>
      <c r="K137" s="76"/>
      <c r="L137" s="76"/>
      <c r="M137" s="76"/>
      <c r="N137" s="76"/>
      <c r="O137" s="76"/>
      <c r="P137" s="76"/>
      <c r="Q137" s="76"/>
      <c r="R137" s="76"/>
      <c r="S137" s="76"/>
      <c r="T137" s="76"/>
      <c r="U137" s="76"/>
      <c r="V137" s="76"/>
      <c r="W137" s="76"/>
      <c r="X137" s="76"/>
      <c r="Y137" s="76"/>
      <c r="Z137" s="76"/>
      <c r="AA137" s="76"/>
      <c r="AB137" s="76"/>
    </row>
    <row r="138" spans="6:28">
      <c r="F138" s="76"/>
      <c r="G138" s="76"/>
      <c r="H138" s="76"/>
      <c r="I138" s="76"/>
      <c r="J138" s="76"/>
      <c r="K138" s="76"/>
      <c r="L138" s="76"/>
      <c r="M138" s="76"/>
      <c r="N138" s="76"/>
      <c r="O138" s="76"/>
      <c r="P138" s="76"/>
      <c r="Q138" s="76"/>
      <c r="R138" s="76"/>
      <c r="S138" s="76"/>
      <c r="T138" s="76"/>
      <c r="U138" s="76"/>
      <c r="V138" s="76"/>
      <c r="W138" s="76"/>
      <c r="X138" s="76"/>
      <c r="Y138" s="76"/>
      <c r="Z138" s="76"/>
      <c r="AA138" s="76"/>
      <c r="AB138" s="76"/>
    </row>
    <row r="139" spans="6:28">
      <c r="F139" s="76"/>
      <c r="G139" s="76"/>
      <c r="H139" s="76"/>
      <c r="I139" s="76"/>
      <c r="J139" s="76"/>
      <c r="K139" s="76"/>
      <c r="L139" s="76"/>
      <c r="M139" s="76"/>
      <c r="N139" s="76"/>
      <c r="O139" s="76"/>
      <c r="P139" s="76"/>
      <c r="Q139" s="76"/>
      <c r="R139" s="76"/>
      <c r="S139" s="76"/>
      <c r="T139" s="76"/>
      <c r="U139" s="76"/>
      <c r="V139" s="76"/>
      <c r="W139" s="76"/>
      <c r="X139" s="76"/>
      <c r="Y139" s="76"/>
      <c r="Z139" s="76"/>
      <c r="AA139" s="76"/>
      <c r="AB139" s="76"/>
    </row>
    <row r="140" spans="6:28">
      <c r="F140" s="76"/>
      <c r="G140" s="76"/>
      <c r="H140" s="76"/>
      <c r="I140" s="76"/>
      <c r="J140" s="76"/>
      <c r="K140" s="76"/>
      <c r="L140" s="76"/>
      <c r="M140" s="76"/>
      <c r="N140" s="76"/>
      <c r="O140" s="76"/>
      <c r="P140" s="76"/>
      <c r="Q140" s="76"/>
      <c r="R140" s="76"/>
      <c r="S140" s="76"/>
      <c r="T140" s="76"/>
      <c r="U140" s="76"/>
      <c r="V140" s="76"/>
      <c r="W140" s="76"/>
      <c r="X140" s="76"/>
      <c r="Y140" s="76"/>
      <c r="Z140" s="76"/>
      <c r="AA140" s="76"/>
      <c r="AB140" s="76"/>
    </row>
    <row r="141" spans="6:28">
      <c r="F141" s="76"/>
      <c r="G141" s="76"/>
      <c r="H141" s="76"/>
      <c r="I141" s="76"/>
      <c r="J141" s="76"/>
      <c r="K141" s="76"/>
      <c r="L141" s="76"/>
      <c r="M141" s="76"/>
      <c r="N141" s="76"/>
      <c r="O141" s="76"/>
      <c r="P141" s="76"/>
      <c r="Q141" s="76"/>
      <c r="R141" s="76"/>
      <c r="S141" s="76"/>
      <c r="T141" s="76"/>
      <c r="U141" s="76"/>
      <c r="V141" s="76"/>
      <c r="W141" s="76"/>
      <c r="X141" s="76"/>
      <c r="Y141" s="76"/>
      <c r="Z141" s="76"/>
      <c r="AA141" s="76"/>
      <c r="AB141" s="76"/>
    </row>
    <row r="142" spans="6:28">
      <c r="F142" s="76"/>
      <c r="G142" s="76"/>
      <c r="H142" s="76"/>
      <c r="I142" s="76"/>
      <c r="J142" s="76"/>
      <c r="K142" s="76"/>
      <c r="L142" s="76"/>
      <c r="M142" s="76"/>
      <c r="N142" s="76"/>
      <c r="O142" s="76"/>
      <c r="P142" s="76"/>
      <c r="Q142" s="76"/>
      <c r="R142" s="76"/>
      <c r="S142" s="76"/>
      <c r="T142" s="76"/>
      <c r="U142" s="76"/>
      <c r="V142" s="76"/>
      <c r="W142" s="76"/>
      <c r="X142" s="76"/>
      <c r="Y142" s="76"/>
      <c r="Z142" s="76"/>
      <c r="AA142" s="76"/>
      <c r="AB142" s="76"/>
    </row>
    <row r="143" spans="6:28">
      <c r="F143" s="76"/>
      <c r="G143" s="76"/>
      <c r="H143" s="76"/>
      <c r="I143" s="76"/>
      <c r="J143" s="76"/>
      <c r="K143" s="76"/>
      <c r="L143" s="76"/>
      <c r="M143" s="76"/>
      <c r="N143" s="76"/>
      <c r="O143" s="76"/>
      <c r="P143" s="76"/>
      <c r="Q143" s="76"/>
      <c r="R143" s="76"/>
      <c r="S143" s="76"/>
      <c r="T143" s="76"/>
      <c r="U143" s="76"/>
      <c r="V143" s="76"/>
      <c r="W143" s="76"/>
      <c r="X143" s="76"/>
      <c r="Y143" s="76"/>
      <c r="Z143" s="76"/>
      <c r="AA143" s="76"/>
      <c r="AB143" s="76"/>
    </row>
    <row r="144" spans="6:28">
      <c r="F144" s="76"/>
      <c r="G144" s="76"/>
      <c r="H144" s="76"/>
      <c r="I144" s="76"/>
      <c r="J144" s="76"/>
      <c r="K144" s="76"/>
      <c r="L144" s="76"/>
      <c r="M144" s="76"/>
      <c r="N144" s="76"/>
      <c r="O144" s="76"/>
      <c r="P144" s="76"/>
      <c r="Q144" s="76"/>
      <c r="R144" s="76"/>
      <c r="S144" s="76"/>
      <c r="T144" s="76"/>
      <c r="U144" s="76"/>
      <c r="V144" s="76"/>
      <c r="W144" s="76"/>
      <c r="X144" s="76"/>
      <c r="Y144" s="76"/>
      <c r="Z144" s="76"/>
      <c r="AA144" s="76"/>
      <c r="AB144" s="76"/>
    </row>
    <row r="145" spans="6:28">
      <c r="F145" s="76"/>
      <c r="G145" s="76"/>
      <c r="H145" s="76"/>
      <c r="I145" s="76"/>
      <c r="J145" s="76"/>
      <c r="K145" s="76"/>
      <c r="L145" s="76"/>
      <c r="M145" s="76"/>
      <c r="N145" s="76"/>
      <c r="O145" s="76"/>
      <c r="P145" s="76"/>
      <c r="Q145" s="76"/>
      <c r="R145" s="76"/>
      <c r="S145" s="76"/>
      <c r="T145" s="76"/>
      <c r="U145" s="76"/>
      <c r="V145" s="76"/>
      <c r="W145" s="76"/>
      <c r="X145" s="76"/>
      <c r="Y145" s="76"/>
      <c r="Z145" s="76"/>
      <c r="AA145" s="76"/>
      <c r="AB145" s="76"/>
    </row>
    <row r="146" spans="6:28">
      <c r="F146" s="76"/>
      <c r="G146" s="76"/>
      <c r="H146" s="76"/>
      <c r="I146" s="76"/>
      <c r="J146" s="76"/>
      <c r="K146" s="76"/>
      <c r="L146" s="76"/>
      <c r="M146" s="76"/>
      <c r="N146" s="76"/>
      <c r="O146" s="76"/>
      <c r="P146" s="76"/>
      <c r="Q146" s="76"/>
      <c r="R146" s="76"/>
      <c r="S146" s="76"/>
      <c r="T146" s="76"/>
      <c r="U146" s="76"/>
      <c r="V146" s="76"/>
      <c r="W146" s="76"/>
      <c r="X146" s="76"/>
      <c r="Y146" s="76"/>
      <c r="Z146" s="76"/>
      <c r="AA146" s="76"/>
      <c r="AB146" s="76"/>
    </row>
    <row r="147" spans="6:28">
      <c r="F147" s="76"/>
      <c r="G147" s="76"/>
      <c r="H147" s="76"/>
      <c r="I147" s="76"/>
      <c r="J147" s="76"/>
      <c r="K147" s="76"/>
      <c r="L147" s="76"/>
      <c r="M147" s="76"/>
      <c r="N147" s="76"/>
      <c r="O147" s="76"/>
      <c r="P147" s="76"/>
      <c r="Q147" s="76"/>
      <c r="R147" s="76"/>
      <c r="S147" s="76"/>
      <c r="T147" s="76"/>
      <c r="U147" s="76"/>
      <c r="V147" s="76"/>
      <c r="W147" s="76"/>
      <c r="X147" s="76"/>
      <c r="Y147" s="76"/>
      <c r="Z147" s="76"/>
      <c r="AA147" s="76"/>
      <c r="AB147" s="76"/>
    </row>
    <row r="148" spans="6:28">
      <c r="F148" s="76"/>
      <c r="G148" s="76"/>
      <c r="H148" s="76"/>
      <c r="I148" s="76"/>
      <c r="J148" s="76"/>
      <c r="K148" s="76"/>
      <c r="L148" s="76"/>
      <c r="M148" s="76"/>
      <c r="N148" s="76"/>
      <c r="O148" s="76"/>
      <c r="P148" s="76"/>
      <c r="Q148" s="76"/>
      <c r="R148" s="76"/>
      <c r="S148" s="76"/>
      <c r="T148" s="76"/>
      <c r="U148" s="76"/>
      <c r="V148" s="76"/>
      <c r="W148" s="76"/>
      <c r="X148" s="76"/>
      <c r="Y148" s="76"/>
      <c r="Z148" s="76"/>
      <c r="AA148" s="76"/>
      <c r="AB148" s="76"/>
    </row>
    <row r="149" spans="6:28">
      <c r="F149" s="76"/>
      <c r="G149" s="76"/>
      <c r="H149" s="76"/>
      <c r="I149" s="76"/>
      <c r="J149" s="76"/>
      <c r="K149" s="76"/>
      <c r="L149" s="76"/>
      <c r="M149" s="76"/>
      <c r="N149" s="76"/>
      <c r="O149" s="76"/>
      <c r="P149" s="76"/>
      <c r="Q149" s="76"/>
      <c r="R149" s="76"/>
      <c r="S149" s="76"/>
      <c r="T149" s="76"/>
      <c r="U149" s="76"/>
      <c r="V149" s="76"/>
      <c r="W149" s="76"/>
      <c r="X149" s="76"/>
      <c r="Y149" s="76"/>
      <c r="Z149" s="76"/>
      <c r="AA149" s="76"/>
      <c r="AB149" s="76"/>
    </row>
    <row r="150" spans="6:28">
      <c r="F150" s="76"/>
      <c r="G150" s="76"/>
      <c r="H150" s="76"/>
      <c r="I150" s="76"/>
      <c r="J150" s="76"/>
      <c r="K150" s="76"/>
      <c r="L150" s="76"/>
      <c r="M150" s="76"/>
      <c r="N150" s="76"/>
      <c r="O150" s="76"/>
      <c r="P150" s="76"/>
      <c r="Q150" s="76"/>
      <c r="R150" s="76"/>
      <c r="S150" s="76"/>
      <c r="T150" s="76"/>
      <c r="U150" s="76"/>
      <c r="V150" s="76"/>
      <c r="W150" s="76"/>
      <c r="X150" s="76"/>
      <c r="Y150" s="76"/>
      <c r="Z150" s="76"/>
      <c r="AA150" s="76"/>
      <c r="AB150" s="76"/>
    </row>
    <row r="151" spans="6:28">
      <c r="F151" s="76"/>
      <c r="G151" s="76"/>
      <c r="H151" s="76"/>
      <c r="I151" s="76"/>
      <c r="J151" s="76"/>
      <c r="K151" s="76"/>
      <c r="L151" s="76"/>
      <c r="M151" s="76"/>
      <c r="N151" s="76"/>
      <c r="O151" s="76"/>
      <c r="P151" s="76"/>
      <c r="Q151" s="76"/>
      <c r="R151" s="76"/>
      <c r="S151" s="76"/>
      <c r="T151" s="76"/>
      <c r="U151" s="76"/>
      <c r="V151" s="76"/>
      <c r="W151" s="76"/>
      <c r="X151" s="76"/>
      <c r="Y151" s="76"/>
      <c r="Z151" s="76"/>
      <c r="AA151" s="76"/>
      <c r="AB151" s="76"/>
    </row>
    <row r="152" spans="6:28">
      <c r="F152" s="76"/>
      <c r="G152" s="76"/>
      <c r="H152" s="76"/>
      <c r="I152" s="76"/>
      <c r="J152" s="76"/>
      <c r="K152" s="76"/>
      <c r="L152" s="76"/>
      <c r="M152" s="76"/>
      <c r="N152" s="76"/>
      <c r="O152" s="76"/>
      <c r="P152" s="76"/>
      <c r="Q152" s="76"/>
      <c r="R152" s="76"/>
      <c r="S152" s="76"/>
      <c r="T152" s="76"/>
      <c r="U152" s="76"/>
      <c r="V152" s="76"/>
      <c r="W152" s="76"/>
      <c r="X152" s="76"/>
      <c r="Y152" s="76"/>
      <c r="Z152" s="76"/>
      <c r="AA152" s="76"/>
      <c r="AB152" s="76"/>
    </row>
    <row r="153" spans="6:28">
      <c r="F153" s="76"/>
      <c r="G153" s="76"/>
      <c r="H153" s="76"/>
      <c r="I153" s="76"/>
      <c r="J153" s="76"/>
      <c r="K153" s="76"/>
      <c r="L153" s="76"/>
      <c r="M153" s="76"/>
      <c r="N153" s="76"/>
      <c r="O153" s="76"/>
      <c r="P153" s="76"/>
      <c r="Q153" s="76"/>
      <c r="R153" s="76"/>
      <c r="S153" s="76"/>
      <c r="T153" s="76"/>
      <c r="U153" s="76"/>
      <c r="V153" s="76"/>
      <c r="W153" s="76"/>
      <c r="X153" s="76"/>
      <c r="Y153" s="76"/>
      <c r="Z153" s="76"/>
      <c r="AA153" s="76"/>
      <c r="AB153" s="76"/>
    </row>
    <row r="154" spans="6:28">
      <c r="F154" s="76"/>
      <c r="G154" s="76"/>
      <c r="H154" s="76"/>
      <c r="I154" s="76"/>
      <c r="J154" s="76"/>
      <c r="K154" s="76"/>
      <c r="L154" s="76"/>
      <c r="M154" s="76"/>
      <c r="N154" s="76"/>
      <c r="O154" s="76"/>
      <c r="P154" s="76"/>
      <c r="Q154" s="76"/>
      <c r="R154" s="76"/>
      <c r="S154" s="76"/>
      <c r="T154" s="76"/>
      <c r="U154" s="76"/>
      <c r="V154" s="76"/>
      <c r="W154" s="76"/>
      <c r="X154" s="76"/>
      <c r="Y154" s="76"/>
      <c r="Z154" s="76"/>
      <c r="AA154" s="76"/>
      <c r="AB154" s="76"/>
    </row>
    <row r="155" spans="6:28">
      <c r="F155" s="76"/>
      <c r="G155" s="76"/>
      <c r="H155" s="76"/>
      <c r="I155" s="76"/>
      <c r="J155" s="76"/>
      <c r="K155" s="76"/>
      <c r="L155" s="76"/>
      <c r="M155" s="76"/>
      <c r="N155" s="76"/>
      <c r="O155" s="76"/>
      <c r="P155" s="76"/>
      <c r="Q155" s="76"/>
      <c r="R155" s="76"/>
      <c r="S155" s="76"/>
      <c r="T155" s="76"/>
      <c r="U155" s="76"/>
      <c r="V155" s="76"/>
      <c r="W155" s="76"/>
      <c r="X155" s="76"/>
      <c r="Y155" s="76"/>
      <c r="Z155" s="76"/>
      <c r="AA155" s="76"/>
      <c r="AB155" s="76"/>
    </row>
    <row r="156" spans="6:28">
      <c r="F156" s="76"/>
      <c r="G156" s="76"/>
      <c r="H156" s="76"/>
      <c r="I156" s="76"/>
      <c r="J156" s="76"/>
      <c r="K156" s="76"/>
      <c r="L156" s="76"/>
      <c r="M156" s="76"/>
      <c r="N156" s="76"/>
      <c r="O156" s="76"/>
      <c r="P156" s="76"/>
      <c r="Q156" s="76"/>
      <c r="R156" s="76"/>
      <c r="S156" s="76"/>
      <c r="T156" s="76"/>
      <c r="U156" s="76"/>
      <c r="V156" s="76"/>
      <c r="W156" s="76"/>
      <c r="X156" s="76"/>
      <c r="Y156" s="76"/>
      <c r="Z156" s="76"/>
      <c r="AA156" s="76"/>
      <c r="AB156" s="76"/>
    </row>
    <row r="157" spans="6:28">
      <c r="F157" s="76"/>
      <c r="G157" s="76"/>
      <c r="H157" s="76"/>
      <c r="I157" s="76"/>
      <c r="J157" s="76"/>
      <c r="K157" s="76"/>
      <c r="L157" s="76"/>
      <c r="M157" s="76"/>
      <c r="N157" s="76"/>
      <c r="O157" s="76"/>
      <c r="P157" s="76"/>
      <c r="Q157" s="76"/>
      <c r="R157" s="76"/>
      <c r="S157" s="76"/>
      <c r="T157" s="76"/>
      <c r="U157" s="76"/>
      <c r="V157" s="76"/>
      <c r="W157" s="76"/>
      <c r="X157" s="76"/>
      <c r="Y157" s="76"/>
      <c r="Z157" s="76"/>
      <c r="AA157" s="76"/>
      <c r="AB157" s="76"/>
    </row>
    <row r="158" spans="6:28">
      <c r="F158" s="76"/>
      <c r="G158" s="76"/>
      <c r="H158" s="76"/>
      <c r="I158" s="76"/>
      <c r="J158" s="76"/>
      <c r="K158" s="76"/>
      <c r="L158" s="76"/>
      <c r="M158" s="76"/>
      <c r="N158" s="76"/>
      <c r="O158" s="76"/>
      <c r="P158" s="76"/>
      <c r="Q158" s="76"/>
      <c r="R158" s="76"/>
      <c r="S158" s="76"/>
      <c r="T158" s="76"/>
      <c r="U158" s="76"/>
      <c r="V158" s="76"/>
      <c r="W158" s="76"/>
      <c r="X158" s="76"/>
      <c r="Y158" s="76"/>
      <c r="Z158" s="76"/>
      <c r="AA158" s="76"/>
      <c r="AB158" s="76"/>
    </row>
    <row r="159" spans="6:28">
      <c r="F159" s="76"/>
      <c r="G159" s="76"/>
      <c r="H159" s="76"/>
      <c r="I159" s="76"/>
      <c r="J159" s="76"/>
      <c r="K159" s="76"/>
      <c r="L159" s="76"/>
      <c r="M159" s="76"/>
      <c r="N159" s="76"/>
      <c r="O159" s="76"/>
      <c r="P159" s="76"/>
      <c r="Q159" s="76"/>
      <c r="R159" s="76"/>
      <c r="S159" s="76"/>
      <c r="T159" s="76"/>
      <c r="U159" s="76"/>
      <c r="V159" s="76"/>
      <c r="W159" s="76"/>
      <c r="X159" s="76"/>
      <c r="Y159" s="76"/>
      <c r="Z159" s="76"/>
      <c r="AA159" s="76"/>
      <c r="AB159" s="76"/>
    </row>
    <row r="160" spans="6:28">
      <c r="F160" s="76"/>
      <c r="G160" s="76"/>
      <c r="H160" s="76"/>
      <c r="I160" s="76"/>
      <c r="J160" s="76"/>
      <c r="K160" s="76"/>
      <c r="L160" s="76"/>
      <c r="M160" s="76"/>
      <c r="N160" s="76"/>
      <c r="O160" s="76"/>
      <c r="P160" s="76"/>
      <c r="Q160" s="76"/>
      <c r="R160" s="76"/>
      <c r="S160" s="76"/>
      <c r="T160" s="76"/>
      <c r="U160" s="76"/>
      <c r="V160" s="76"/>
      <c r="W160" s="76"/>
      <c r="X160" s="76"/>
      <c r="Y160" s="76"/>
      <c r="Z160" s="76"/>
      <c r="AA160" s="76"/>
      <c r="AB160" s="76"/>
    </row>
    <row r="161" spans="6:28">
      <c r="F161" s="76"/>
      <c r="G161" s="76"/>
      <c r="H161" s="76"/>
      <c r="I161" s="76"/>
      <c r="J161" s="76"/>
      <c r="K161" s="76"/>
      <c r="L161" s="76"/>
      <c r="M161" s="76"/>
      <c r="N161" s="76"/>
      <c r="O161" s="76"/>
      <c r="P161" s="76"/>
      <c r="Q161" s="76"/>
      <c r="R161" s="76"/>
      <c r="S161" s="76"/>
      <c r="T161" s="76"/>
      <c r="U161" s="76"/>
      <c r="V161" s="76"/>
      <c r="W161" s="76"/>
      <c r="X161" s="76"/>
      <c r="Y161" s="76"/>
      <c r="Z161" s="76"/>
      <c r="AA161" s="76"/>
      <c r="AB161" s="76"/>
    </row>
    <row r="162" spans="6:28">
      <c r="F162" s="76"/>
      <c r="G162" s="76"/>
      <c r="H162" s="76"/>
      <c r="I162" s="76"/>
      <c r="J162" s="76"/>
      <c r="K162" s="76"/>
      <c r="L162" s="76"/>
      <c r="M162" s="76"/>
      <c r="N162" s="76"/>
      <c r="O162" s="76"/>
      <c r="P162" s="76"/>
      <c r="Q162" s="76"/>
      <c r="R162" s="76"/>
      <c r="S162" s="76"/>
      <c r="T162" s="76"/>
      <c r="U162" s="76"/>
      <c r="V162" s="76"/>
      <c r="W162" s="76"/>
      <c r="X162" s="76"/>
      <c r="Y162" s="76"/>
      <c r="Z162" s="76"/>
      <c r="AA162" s="76"/>
      <c r="AB162" s="76"/>
    </row>
    <row r="163" spans="6:28">
      <c r="F163" s="76"/>
      <c r="G163" s="76"/>
      <c r="H163" s="76"/>
      <c r="I163" s="76"/>
      <c r="J163" s="76"/>
      <c r="K163" s="76"/>
      <c r="L163" s="76"/>
      <c r="M163" s="76"/>
      <c r="N163" s="76"/>
      <c r="O163" s="76"/>
      <c r="P163" s="76"/>
      <c r="Q163" s="76"/>
      <c r="R163" s="76"/>
      <c r="S163" s="76"/>
      <c r="T163" s="76"/>
      <c r="U163" s="76"/>
      <c r="V163" s="76"/>
      <c r="W163" s="76"/>
      <c r="X163" s="76"/>
      <c r="Y163" s="76"/>
      <c r="Z163" s="76"/>
      <c r="AA163" s="76"/>
      <c r="AB163" s="76"/>
    </row>
    <row r="164" spans="6:28">
      <c r="F164" s="76"/>
      <c r="G164" s="76"/>
      <c r="H164" s="76"/>
      <c r="I164" s="76"/>
      <c r="J164" s="76"/>
      <c r="K164" s="76"/>
      <c r="L164" s="76"/>
      <c r="M164" s="76"/>
      <c r="N164" s="76"/>
      <c r="O164" s="76"/>
      <c r="P164" s="76"/>
      <c r="Q164" s="76"/>
      <c r="R164" s="76"/>
      <c r="S164" s="76"/>
      <c r="T164" s="76"/>
      <c r="U164" s="76"/>
      <c r="V164" s="76"/>
      <c r="W164" s="76"/>
      <c r="X164" s="76"/>
      <c r="Y164" s="76"/>
      <c r="Z164" s="76"/>
      <c r="AA164" s="76"/>
      <c r="AB164" s="76"/>
    </row>
    <row r="165" spans="6:28">
      <c r="F165" s="76"/>
      <c r="G165" s="76"/>
      <c r="H165" s="76"/>
      <c r="I165" s="76"/>
      <c r="J165" s="76"/>
      <c r="K165" s="76"/>
      <c r="L165" s="76"/>
      <c r="M165" s="76"/>
      <c r="N165" s="76"/>
      <c r="O165" s="76"/>
      <c r="P165" s="76"/>
      <c r="Q165" s="76"/>
      <c r="R165" s="76"/>
      <c r="S165" s="76"/>
      <c r="T165" s="76"/>
      <c r="U165" s="76"/>
      <c r="V165" s="76"/>
      <c r="W165" s="76"/>
      <c r="X165" s="76"/>
      <c r="Y165" s="76"/>
      <c r="Z165" s="76"/>
      <c r="AA165" s="76"/>
      <c r="AB165" s="76"/>
    </row>
    <row r="166" spans="6:28">
      <c r="F166" s="76"/>
      <c r="G166" s="76"/>
      <c r="H166" s="76"/>
      <c r="I166" s="76"/>
      <c r="J166" s="76"/>
      <c r="K166" s="76"/>
      <c r="L166" s="76"/>
      <c r="M166" s="76"/>
      <c r="N166" s="76"/>
      <c r="O166" s="76"/>
      <c r="P166" s="76"/>
      <c r="Q166" s="76"/>
      <c r="R166" s="76"/>
      <c r="S166" s="76"/>
      <c r="T166" s="76"/>
      <c r="U166" s="76"/>
      <c r="V166" s="76"/>
      <c r="W166" s="76"/>
      <c r="X166" s="76"/>
      <c r="Y166" s="76"/>
      <c r="Z166" s="76"/>
      <c r="AA166" s="76"/>
      <c r="AB166" s="76"/>
    </row>
    <row r="167" spans="6:28">
      <c r="F167" s="76"/>
      <c r="G167" s="76"/>
      <c r="H167" s="76"/>
      <c r="I167" s="76"/>
      <c r="J167" s="76"/>
      <c r="K167" s="76"/>
      <c r="L167" s="76"/>
      <c r="M167" s="76"/>
      <c r="N167" s="76"/>
      <c r="O167" s="76"/>
      <c r="P167" s="76"/>
      <c r="Q167" s="76"/>
      <c r="R167" s="76"/>
      <c r="S167" s="76"/>
      <c r="T167" s="76"/>
      <c r="U167" s="76"/>
      <c r="V167" s="76"/>
      <c r="W167" s="76"/>
      <c r="X167" s="76"/>
      <c r="Y167" s="76"/>
      <c r="Z167" s="76"/>
      <c r="AA167" s="76"/>
      <c r="AB167" s="76"/>
    </row>
    <row r="168" spans="6:28">
      <c r="F168" s="76"/>
      <c r="G168" s="76"/>
      <c r="H168" s="76"/>
      <c r="I168" s="76"/>
      <c r="J168" s="76"/>
      <c r="K168" s="76"/>
      <c r="L168" s="76"/>
      <c r="M168" s="76"/>
      <c r="N168" s="76"/>
      <c r="O168" s="76"/>
      <c r="P168" s="76"/>
      <c r="Q168" s="76"/>
      <c r="R168" s="76"/>
      <c r="S168" s="76"/>
      <c r="T168" s="76"/>
      <c r="U168" s="76"/>
      <c r="V168" s="76"/>
      <c r="W168" s="76"/>
      <c r="X168" s="76"/>
      <c r="Y168" s="76"/>
      <c r="Z168" s="76"/>
      <c r="AA168" s="76"/>
      <c r="AB168" s="76"/>
    </row>
    <row r="169" spans="6:28">
      <c r="F169" s="76"/>
      <c r="G169" s="76"/>
      <c r="H169" s="76"/>
      <c r="I169" s="76"/>
      <c r="J169" s="76"/>
      <c r="K169" s="76"/>
      <c r="L169" s="76"/>
      <c r="M169" s="76"/>
      <c r="N169" s="76"/>
      <c r="O169" s="76"/>
      <c r="P169" s="76"/>
      <c r="Q169" s="76"/>
      <c r="R169" s="76"/>
      <c r="S169" s="76"/>
      <c r="T169" s="76"/>
      <c r="U169" s="76"/>
      <c r="V169" s="76"/>
      <c r="W169" s="76"/>
      <c r="X169" s="76"/>
      <c r="Y169" s="76"/>
      <c r="Z169" s="76"/>
      <c r="AA169" s="76"/>
      <c r="AB169" s="76"/>
    </row>
    <row r="170" spans="6:28">
      <c r="F170" s="76"/>
      <c r="G170" s="76"/>
      <c r="H170" s="76"/>
      <c r="I170" s="76"/>
      <c r="J170" s="76"/>
      <c r="K170" s="76"/>
      <c r="L170" s="76"/>
      <c r="M170" s="76"/>
      <c r="N170" s="76"/>
      <c r="O170" s="76"/>
      <c r="P170" s="76"/>
      <c r="Q170" s="76"/>
      <c r="R170" s="76"/>
      <c r="S170" s="76"/>
      <c r="T170" s="76"/>
      <c r="U170" s="76"/>
      <c r="V170" s="76"/>
      <c r="W170" s="76"/>
      <c r="X170" s="76"/>
      <c r="Y170" s="76"/>
      <c r="Z170" s="76"/>
      <c r="AA170" s="76"/>
      <c r="AB170" s="76"/>
    </row>
    <row r="171" spans="6:28">
      <c r="F171" s="76"/>
      <c r="G171" s="76"/>
      <c r="H171" s="76"/>
      <c r="I171" s="76"/>
      <c r="J171" s="76"/>
      <c r="K171" s="76"/>
      <c r="L171" s="76"/>
      <c r="M171" s="76"/>
      <c r="N171" s="76"/>
      <c r="O171" s="76"/>
      <c r="P171" s="76"/>
      <c r="Q171" s="76"/>
      <c r="R171" s="76"/>
      <c r="S171" s="76"/>
      <c r="T171" s="76"/>
      <c r="U171" s="76"/>
      <c r="V171" s="76"/>
      <c r="W171" s="76"/>
      <c r="X171" s="76"/>
      <c r="Y171" s="76"/>
      <c r="Z171" s="76"/>
      <c r="AA171" s="76"/>
      <c r="AB171" s="76"/>
    </row>
    <row r="172" spans="6:28">
      <c r="F172" s="76"/>
      <c r="G172" s="76"/>
      <c r="H172" s="76"/>
      <c r="I172" s="76"/>
      <c r="J172" s="76"/>
      <c r="K172" s="76"/>
      <c r="L172" s="76"/>
      <c r="M172" s="76"/>
      <c r="N172" s="76"/>
      <c r="O172" s="76"/>
      <c r="P172" s="76"/>
      <c r="Q172" s="76"/>
      <c r="R172" s="76"/>
      <c r="S172" s="76"/>
      <c r="T172" s="76"/>
      <c r="U172" s="76"/>
      <c r="V172" s="76"/>
      <c r="W172" s="76"/>
      <c r="X172" s="76"/>
      <c r="Y172" s="76"/>
      <c r="Z172" s="76"/>
      <c r="AA172" s="76"/>
      <c r="AB172" s="76"/>
    </row>
    <row r="173" spans="6:28">
      <c r="F173" s="76"/>
      <c r="G173" s="76"/>
      <c r="H173" s="76"/>
      <c r="I173" s="76"/>
      <c r="J173" s="76"/>
      <c r="K173" s="76"/>
      <c r="L173" s="76"/>
      <c r="M173" s="76"/>
      <c r="N173" s="76"/>
      <c r="O173" s="76"/>
      <c r="P173" s="76"/>
      <c r="Q173" s="76"/>
      <c r="R173" s="76"/>
      <c r="S173" s="76"/>
      <c r="T173" s="76"/>
      <c r="U173" s="76"/>
      <c r="V173" s="76"/>
      <c r="W173" s="76"/>
      <c r="X173" s="76"/>
      <c r="Y173" s="76"/>
      <c r="Z173" s="76"/>
      <c r="AA173" s="76"/>
      <c r="AB173" s="76"/>
    </row>
    <row r="174" spans="6:28">
      <c r="F174" s="76"/>
      <c r="G174" s="76"/>
      <c r="H174" s="76"/>
      <c r="I174" s="76"/>
      <c r="J174" s="76"/>
      <c r="K174" s="76"/>
      <c r="L174" s="76"/>
      <c r="M174" s="76"/>
      <c r="N174" s="76"/>
      <c r="O174" s="76"/>
      <c r="P174" s="76"/>
      <c r="Q174" s="76"/>
      <c r="R174" s="76"/>
      <c r="S174" s="76"/>
      <c r="T174" s="76"/>
      <c r="U174" s="76"/>
      <c r="V174" s="76"/>
      <c r="W174" s="76"/>
      <c r="X174" s="76"/>
      <c r="Y174" s="76"/>
      <c r="Z174" s="76"/>
      <c r="AA174" s="76"/>
      <c r="AB174" s="76"/>
    </row>
    <row r="175" spans="6:28">
      <c r="F175" s="76"/>
      <c r="G175" s="76"/>
      <c r="H175" s="76"/>
      <c r="I175" s="76"/>
      <c r="J175" s="76"/>
      <c r="K175" s="76"/>
      <c r="L175" s="76"/>
      <c r="M175" s="76"/>
      <c r="N175" s="76"/>
      <c r="O175" s="76"/>
      <c r="P175" s="76"/>
      <c r="Q175" s="76"/>
      <c r="R175" s="76"/>
      <c r="S175" s="76"/>
      <c r="T175" s="76"/>
      <c r="U175" s="76"/>
      <c r="V175" s="76"/>
      <c r="W175" s="76"/>
      <c r="X175" s="76"/>
      <c r="Y175" s="76"/>
      <c r="Z175" s="76"/>
      <c r="AA175" s="76"/>
      <c r="AB175" s="76"/>
    </row>
    <row r="176" spans="6:28">
      <c r="F176" s="76"/>
      <c r="G176" s="76"/>
      <c r="H176" s="76"/>
      <c r="I176" s="76"/>
      <c r="J176" s="76"/>
      <c r="K176" s="76"/>
      <c r="L176" s="76"/>
      <c r="M176" s="76"/>
      <c r="N176" s="76"/>
      <c r="O176" s="76"/>
      <c r="P176" s="76"/>
      <c r="Q176" s="76"/>
      <c r="R176" s="76"/>
      <c r="S176" s="76"/>
      <c r="T176" s="76"/>
      <c r="U176" s="76"/>
      <c r="V176" s="76"/>
      <c r="W176" s="76"/>
      <c r="X176" s="76"/>
      <c r="Y176" s="76"/>
      <c r="Z176" s="76"/>
      <c r="AA176" s="76"/>
      <c r="AB176" s="76"/>
    </row>
    <row r="177" spans="6:28">
      <c r="F177" s="76"/>
      <c r="G177" s="76"/>
      <c r="H177" s="76"/>
      <c r="I177" s="76"/>
      <c r="J177" s="76"/>
      <c r="K177" s="76"/>
      <c r="L177" s="76"/>
      <c r="M177" s="76"/>
      <c r="N177" s="76"/>
      <c r="O177" s="76"/>
      <c r="P177" s="76"/>
      <c r="Q177" s="76"/>
      <c r="R177" s="76"/>
      <c r="S177" s="76"/>
      <c r="T177" s="76"/>
      <c r="U177" s="76"/>
      <c r="V177" s="76"/>
      <c r="W177" s="76"/>
      <c r="X177" s="76"/>
      <c r="Y177" s="76"/>
      <c r="Z177" s="76"/>
      <c r="AA177" s="76"/>
      <c r="AB177" s="76"/>
    </row>
    <row r="178" spans="6:28">
      <c r="F178" s="76"/>
      <c r="G178" s="76"/>
      <c r="H178" s="76"/>
      <c r="I178" s="76"/>
      <c r="J178" s="76"/>
      <c r="K178" s="76"/>
      <c r="L178" s="76"/>
      <c r="M178" s="76"/>
      <c r="N178" s="76"/>
      <c r="O178" s="76"/>
      <c r="P178" s="76"/>
      <c r="Q178" s="76"/>
      <c r="R178" s="76"/>
      <c r="S178" s="76"/>
      <c r="T178" s="76"/>
      <c r="U178" s="76"/>
      <c r="V178" s="76"/>
      <c r="W178" s="76"/>
      <c r="X178" s="76"/>
      <c r="Y178" s="76"/>
      <c r="Z178" s="76"/>
      <c r="AA178" s="76"/>
      <c r="AB178" s="76"/>
    </row>
    <row r="179" spans="6:28">
      <c r="F179" s="76"/>
      <c r="G179" s="76"/>
      <c r="H179" s="76"/>
      <c r="I179" s="76"/>
      <c r="J179" s="76"/>
      <c r="K179" s="76"/>
      <c r="L179" s="76"/>
      <c r="M179" s="76"/>
      <c r="N179" s="76"/>
      <c r="O179" s="76"/>
      <c r="P179" s="76"/>
      <c r="Q179" s="76"/>
      <c r="R179" s="76"/>
      <c r="S179" s="76"/>
      <c r="T179" s="76"/>
      <c r="U179" s="76"/>
      <c r="V179" s="76"/>
      <c r="W179" s="76"/>
      <c r="X179" s="76"/>
      <c r="Y179" s="76"/>
      <c r="Z179" s="76"/>
      <c r="AA179" s="76"/>
      <c r="AB179" s="76"/>
    </row>
    <row r="180" spans="6:28">
      <c r="F180" s="76"/>
      <c r="G180" s="76"/>
      <c r="H180" s="76"/>
      <c r="I180" s="76"/>
      <c r="J180" s="76"/>
      <c r="K180" s="76"/>
      <c r="L180" s="76"/>
      <c r="M180" s="76"/>
      <c r="N180" s="76"/>
      <c r="O180" s="76"/>
      <c r="P180" s="76"/>
      <c r="Q180" s="76"/>
      <c r="R180" s="76"/>
      <c r="S180" s="76"/>
      <c r="T180" s="76"/>
      <c r="U180" s="76"/>
      <c r="V180" s="76"/>
      <c r="W180" s="76"/>
      <c r="X180" s="76"/>
      <c r="Y180" s="76"/>
      <c r="Z180" s="76"/>
      <c r="AA180" s="76"/>
      <c r="AB180" s="76"/>
    </row>
    <row r="181" spans="6:28">
      <c r="F181" s="76"/>
      <c r="G181" s="76"/>
      <c r="H181" s="76"/>
      <c r="I181" s="76"/>
      <c r="J181" s="76"/>
      <c r="K181" s="76"/>
      <c r="L181" s="76"/>
      <c r="M181" s="76"/>
      <c r="N181" s="76"/>
      <c r="O181" s="76"/>
      <c r="P181" s="76"/>
      <c r="Q181" s="76"/>
      <c r="R181" s="76"/>
      <c r="S181" s="76"/>
      <c r="T181" s="76"/>
      <c r="U181" s="76"/>
      <c r="V181" s="76"/>
      <c r="W181" s="76"/>
      <c r="X181" s="76"/>
      <c r="Y181" s="76"/>
      <c r="Z181" s="76"/>
      <c r="AA181" s="76"/>
      <c r="AB181" s="76"/>
    </row>
    <row r="182" spans="6:28">
      <c r="F182" s="76"/>
      <c r="G182" s="76"/>
      <c r="H182" s="76"/>
      <c r="I182" s="76"/>
      <c r="J182" s="76"/>
      <c r="K182" s="76"/>
      <c r="L182" s="76"/>
      <c r="M182" s="76"/>
      <c r="N182" s="76"/>
      <c r="O182" s="76"/>
      <c r="P182" s="76"/>
      <c r="Q182" s="76"/>
      <c r="R182" s="76"/>
      <c r="S182" s="76"/>
      <c r="T182" s="76"/>
      <c r="U182" s="76"/>
      <c r="V182" s="76"/>
      <c r="W182" s="76"/>
      <c r="X182" s="76"/>
      <c r="Y182" s="76"/>
      <c r="Z182" s="76"/>
      <c r="AA182" s="76"/>
      <c r="AB182" s="76"/>
    </row>
    <row r="183" spans="6:28">
      <c r="F183" s="76"/>
      <c r="G183" s="76"/>
      <c r="H183" s="76"/>
      <c r="I183" s="76"/>
      <c r="J183" s="76"/>
      <c r="K183" s="76"/>
      <c r="L183" s="76"/>
      <c r="M183" s="76"/>
      <c r="N183" s="76"/>
      <c r="O183" s="76"/>
      <c r="P183" s="76"/>
      <c r="Q183" s="76"/>
      <c r="R183" s="76"/>
      <c r="S183" s="76"/>
      <c r="T183" s="76"/>
      <c r="U183" s="76"/>
      <c r="V183" s="76"/>
      <c r="W183" s="76"/>
      <c r="X183" s="76"/>
      <c r="Y183" s="76"/>
      <c r="Z183" s="76"/>
      <c r="AA183" s="76"/>
      <c r="AB183" s="76"/>
    </row>
    <row r="184" spans="6:28">
      <c r="F184" s="76"/>
      <c r="G184" s="76"/>
      <c r="H184" s="76"/>
      <c r="I184" s="76"/>
      <c r="J184" s="76"/>
      <c r="K184" s="76"/>
      <c r="L184" s="76"/>
      <c r="M184" s="76"/>
      <c r="N184" s="76"/>
      <c r="O184" s="76"/>
      <c r="P184" s="76"/>
      <c r="Q184" s="76"/>
      <c r="R184" s="76"/>
      <c r="S184" s="76"/>
      <c r="T184" s="76"/>
      <c r="U184" s="76"/>
      <c r="V184" s="76"/>
      <c r="W184" s="76"/>
      <c r="X184" s="76"/>
      <c r="Y184" s="76"/>
      <c r="Z184" s="76"/>
      <c r="AA184" s="76"/>
      <c r="AB184" s="76"/>
    </row>
    <row r="185" spans="6:28">
      <c r="F185" s="76"/>
      <c r="G185" s="76"/>
      <c r="H185" s="76"/>
      <c r="I185" s="76"/>
      <c r="J185" s="76"/>
      <c r="K185" s="76"/>
      <c r="L185" s="76"/>
      <c r="M185" s="76"/>
      <c r="N185" s="76"/>
      <c r="O185" s="76"/>
      <c r="P185" s="76"/>
      <c r="Q185" s="76"/>
      <c r="R185" s="76"/>
      <c r="S185" s="76"/>
      <c r="T185" s="76"/>
      <c r="U185" s="76"/>
      <c r="V185" s="76"/>
      <c r="W185" s="76"/>
      <c r="X185" s="76"/>
      <c r="Y185" s="76"/>
      <c r="Z185" s="76"/>
      <c r="AA185" s="76"/>
      <c r="AB185" s="76"/>
    </row>
    <row r="186" spans="6:28">
      <c r="F186" s="76"/>
      <c r="G186" s="76"/>
      <c r="H186" s="76"/>
      <c r="I186" s="76"/>
      <c r="J186" s="76"/>
      <c r="K186" s="76"/>
      <c r="L186" s="76"/>
      <c r="M186" s="76"/>
      <c r="N186" s="76"/>
      <c r="O186" s="76"/>
      <c r="P186" s="76"/>
      <c r="Q186" s="76"/>
      <c r="R186" s="76"/>
      <c r="S186" s="76"/>
      <c r="T186" s="76"/>
      <c r="U186" s="76"/>
      <c r="V186" s="76"/>
      <c r="W186" s="76"/>
      <c r="X186" s="76"/>
      <c r="Y186" s="76"/>
      <c r="Z186" s="76"/>
      <c r="AA186" s="76"/>
      <c r="AB186" s="76"/>
    </row>
    <row r="187" spans="6:28">
      <c r="F187" s="76"/>
      <c r="G187" s="76"/>
      <c r="H187" s="76"/>
      <c r="I187" s="76"/>
      <c r="J187" s="76"/>
      <c r="K187" s="76"/>
      <c r="L187" s="76"/>
      <c r="M187" s="76"/>
      <c r="N187" s="76"/>
      <c r="O187" s="76"/>
      <c r="P187" s="76"/>
      <c r="Q187" s="76"/>
      <c r="R187" s="76"/>
      <c r="S187" s="76"/>
      <c r="T187" s="76"/>
      <c r="U187" s="76"/>
      <c r="V187" s="76"/>
      <c r="W187" s="76"/>
      <c r="X187" s="76"/>
      <c r="Y187" s="76"/>
      <c r="Z187" s="76"/>
      <c r="AA187" s="76"/>
      <c r="AB187" s="76"/>
    </row>
    <row r="188" spans="6:28">
      <c r="F188" s="76"/>
      <c r="G188" s="76"/>
      <c r="H188" s="76"/>
      <c r="I188" s="76"/>
      <c r="J188" s="76"/>
      <c r="K188" s="76"/>
      <c r="L188" s="76"/>
      <c r="M188" s="76"/>
      <c r="N188" s="76"/>
      <c r="O188" s="76"/>
      <c r="P188" s="76"/>
      <c r="Q188" s="76"/>
      <c r="R188" s="76"/>
      <c r="S188" s="76"/>
      <c r="T188" s="76"/>
      <c r="U188" s="76"/>
      <c r="V188" s="76"/>
      <c r="W188" s="76"/>
      <c r="X188" s="76"/>
      <c r="Y188" s="76"/>
      <c r="Z188" s="76"/>
      <c r="AA188" s="76"/>
      <c r="AB188" s="76"/>
    </row>
    <row r="189" spans="6:28">
      <c r="F189" s="76"/>
      <c r="G189" s="76"/>
      <c r="H189" s="76"/>
      <c r="I189" s="76"/>
      <c r="J189" s="76"/>
      <c r="K189" s="76"/>
      <c r="L189" s="76"/>
      <c r="M189" s="76"/>
      <c r="N189" s="76"/>
      <c r="O189" s="76"/>
      <c r="P189" s="76"/>
      <c r="Q189" s="76"/>
      <c r="R189" s="76"/>
      <c r="S189" s="76"/>
      <c r="T189" s="76"/>
      <c r="U189" s="76"/>
      <c r="V189" s="76"/>
      <c r="W189" s="76"/>
      <c r="X189" s="76"/>
      <c r="Y189" s="76"/>
      <c r="Z189" s="76"/>
      <c r="AA189" s="76"/>
      <c r="AB189" s="76"/>
    </row>
    <row r="190" spans="6:28">
      <c r="F190" s="76"/>
      <c r="G190" s="76"/>
      <c r="H190" s="76"/>
      <c r="I190" s="76"/>
      <c r="J190" s="76"/>
      <c r="K190" s="76"/>
      <c r="L190" s="76"/>
      <c r="M190" s="76"/>
      <c r="N190" s="76"/>
      <c r="O190" s="76"/>
      <c r="P190" s="76"/>
      <c r="Q190" s="76"/>
      <c r="R190" s="76"/>
      <c r="S190" s="76"/>
      <c r="T190" s="76"/>
      <c r="U190" s="76"/>
      <c r="V190" s="76"/>
      <c r="W190" s="76"/>
      <c r="X190" s="76"/>
      <c r="Y190" s="76"/>
      <c r="Z190" s="76"/>
      <c r="AA190" s="76"/>
      <c r="AB190" s="76"/>
    </row>
    <row r="191" spans="6:28">
      <c r="F191" s="76"/>
      <c r="G191" s="76"/>
      <c r="H191" s="76"/>
      <c r="I191" s="76"/>
      <c r="J191" s="76"/>
      <c r="K191" s="76"/>
      <c r="L191" s="76"/>
      <c r="M191" s="76"/>
      <c r="N191" s="76"/>
      <c r="O191" s="76"/>
      <c r="P191" s="76"/>
      <c r="Q191" s="76"/>
      <c r="R191" s="76"/>
      <c r="S191" s="76"/>
      <c r="T191" s="76"/>
      <c r="U191" s="76"/>
      <c r="V191" s="76"/>
      <c r="W191" s="76"/>
      <c r="X191" s="76"/>
      <c r="Y191" s="76"/>
      <c r="Z191" s="76"/>
      <c r="AA191" s="76"/>
      <c r="AB191" s="76"/>
    </row>
    <row r="192" spans="6:28">
      <c r="F192" s="76"/>
      <c r="G192" s="76"/>
      <c r="H192" s="76"/>
      <c r="I192" s="76"/>
      <c r="J192" s="76"/>
      <c r="K192" s="76"/>
      <c r="L192" s="76"/>
      <c r="M192" s="76"/>
      <c r="N192" s="76"/>
      <c r="O192" s="76"/>
      <c r="P192" s="76"/>
      <c r="Q192" s="76"/>
      <c r="R192" s="76"/>
      <c r="S192" s="76"/>
      <c r="T192" s="76"/>
      <c r="U192" s="76"/>
      <c r="V192" s="76"/>
      <c r="W192" s="76"/>
      <c r="X192" s="76"/>
      <c r="Y192" s="76"/>
      <c r="Z192" s="76"/>
      <c r="AA192" s="76"/>
      <c r="AB192" s="76"/>
    </row>
    <row r="193" spans="6:28">
      <c r="F193" s="76"/>
      <c r="G193" s="76"/>
      <c r="H193" s="76"/>
      <c r="I193" s="76"/>
      <c r="J193" s="76"/>
      <c r="K193" s="76"/>
      <c r="L193" s="76"/>
      <c r="M193" s="76"/>
      <c r="N193" s="76"/>
      <c r="O193" s="76"/>
      <c r="P193" s="76"/>
      <c r="Q193" s="76"/>
      <c r="R193" s="76"/>
      <c r="S193" s="76"/>
      <c r="T193" s="76"/>
      <c r="U193" s="76"/>
      <c r="V193" s="76"/>
      <c r="W193" s="76"/>
      <c r="X193" s="76"/>
      <c r="Y193" s="76"/>
      <c r="Z193" s="76"/>
      <c r="AA193" s="76"/>
      <c r="AB193" s="76"/>
    </row>
    <row r="194" spans="6:28">
      <c r="F194" s="76"/>
      <c r="G194" s="76"/>
      <c r="H194" s="76"/>
      <c r="I194" s="76"/>
      <c r="J194" s="76"/>
      <c r="K194" s="76"/>
      <c r="L194" s="76"/>
      <c r="M194" s="76"/>
      <c r="N194" s="76"/>
      <c r="O194" s="76"/>
      <c r="P194" s="76"/>
      <c r="Q194" s="76"/>
      <c r="R194" s="76"/>
      <c r="S194" s="76"/>
      <c r="T194" s="76"/>
      <c r="U194" s="76"/>
      <c r="V194" s="76"/>
      <c r="W194" s="76"/>
      <c r="X194" s="76"/>
      <c r="Y194" s="76"/>
      <c r="Z194" s="76"/>
      <c r="AA194" s="76"/>
      <c r="AB194" s="76"/>
    </row>
    <row r="195" spans="6:28">
      <c r="F195" s="76"/>
      <c r="G195" s="76"/>
      <c r="H195" s="76"/>
      <c r="I195" s="76"/>
      <c r="J195" s="76"/>
      <c r="K195" s="76"/>
      <c r="L195" s="76"/>
      <c r="M195" s="76"/>
      <c r="N195" s="76"/>
      <c r="O195" s="76"/>
      <c r="P195" s="76"/>
      <c r="Q195" s="76"/>
      <c r="R195" s="76"/>
      <c r="S195" s="76"/>
      <c r="T195" s="76"/>
      <c r="U195" s="76"/>
      <c r="V195" s="76"/>
      <c r="W195" s="76"/>
      <c r="X195" s="76"/>
      <c r="Y195" s="76"/>
      <c r="Z195" s="76"/>
      <c r="AA195" s="76"/>
      <c r="AB195" s="76"/>
    </row>
    <row r="196" spans="6:28">
      <c r="F196" s="76"/>
      <c r="G196" s="76"/>
      <c r="H196" s="76"/>
      <c r="I196" s="76"/>
      <c r="J196" s="76"/>
      <c r="K196" s="76"/>
      <c r="L196" s="76"/>
      <c r="M196" s="76"/>
      <c r="N196" s="76"/>
      <c r="O196" s="76"/>
      <c r="P196" s="76"/>
      <c r="Q196" s="76"/>
      <c r="R196" s="76"/>
      <c r="S196" s="76"/>
      <c r="T196" s="76"/>
      <c r="U196" s="76"/>
      <c r="V196" s="76"/>
      <c r="W196" s="76"/>
      <c r="X196" s="76"/>
      <c r="Y196" s="76"/>
      <c r="Z196" s="76"/>
      <c r="AA196" s="76"/>
      <c r="AB196" s="76"/>
    </row>
    <row r="197" spans="6:28">
      <c r="F197" s="76"/>
      <c r="G197" s="76"/>
      <c r="H197" s="76"/>
      <c r="I197" s="76"/>
      <c r="J197" s="76"/>
      <c r="K197" s="76"/>
      <c r="L197" s="76"/>
      <c r="M197" s="76"/>
      <c r="N197" s="76"/>
      <c r="O197" s="76"/>
      <c r="P197" s="76"/>
      <c r="Q197" s="76"/>
      <c r="R197" s="76"/>
      <c r="S197" s="76"/>
      <c r="T197" s="76"/>
      <c r="U197" s="76"/>
      <c r="V197" s="76"/>
      <c r="W197" s="76"/>
      <c r="X197" s="76"/>
      <c r="Y197" s="76"/>
      <c r="Z197" s="76"/>
      <c r="AA197" s="76"/>
      <c r="AB197" s="76"/>
    </row>
    <row r="198" spans="6:28">
      <c r="F198" s="76"/>
      <c r="G198" s="76"/>
      <c r="H198" s="76"/>
      <c r="I198" s="76"/>
      <c r="J198" s="76"/>
      <c r="K198" s="76"/>
      <c r="L198" s="76"/>
      <c r="M198" s="76"/>
      <c r="N198" s="76"/>
      <c r="O198" s="76"/>
      <c r="P198" s="76"/>
      <c r="Q198" s="76"/>
      <c r="R198" s="76"/>
      <c r="S198" s="76"/>
      <c r="T198" s="76"/>
      <c r="U198" s="76"/>
      <c r="V198" s="76"/>
      <c r="W198" s="76"/>
      <c r="X198" s="76"/>
      <c r="Y198" s="76"/>
      <c r="Z198" s="76"/>
      <c r="AA198" s="76"/>
      <c r="AB198" s="76"/>
    </row>
    <row r="199" spans="6:28">
      <c r="F199" s="76"/>
      <c r="G199" s="76"/>
      <c r="H199" s="76"/>
      <c r="I199" s="76"/>
      <c r="J199" s="76"/>
      <c r="K199" s="76"/>
      <c r="L199" s="76"/>
      <c r="M199" s="76"/>
      <c r="N199" s="76"/>
      <c r="O199" s="76"/>
      <c r="P199" s="76"/>
      <c r="Q199" s="76"/>
      <c r="R199" s="76"/>
      <c r="S199" s="76"/>
      <c r="T199" s="76"/>
      <c r="U199" s="76"/>
      <c r="V199" s="76"/>
      <c r="W199" s="76"/>
      <c r="X199" s="76"/>
      <c r="Y199" s="76"/>
      <c r="Z199" s="76"/>
      <c r="AA199" s="76"/>
      <c r="AB199" s="76"/>
    </row>
    <row r="200" spans="6:28">
      <c r="F200" s="76"/>
      <c r="G200" s="76"/>
      <c r="H200" s="76"/>
      <c r="I200" s="76"/>
      <c r="J200" s="76"/>
      <c r="K200" s="76"/>
      <c r="L200" s="76"/>
      <c r="M200" s="76"/>
      <c r="N200" s="76"/>
      <c r="O200" s="76"/>
      <c r="P200" s="76"/>
      <c r="Q200" s="76"/>
      <c r="R200" s="76"/>
      <c r="S200" s="76"/>
      <c r="T200" s="76"/>
      <c r="U200" s="76"/>
      <c r="V200" s="76"/>
      <c r="W200" s="76"/>
      <c r="X200" s="76"/>
      <c r="Y200" s="76"/>
      <c r="Z200" s="76"/>
      <c r="AA200" s="76"/>
      <c r="AB200" s="76"/>
    </row>
    <row r="201" spans="6:28">
      <c r="F201" s="76"/>
      <c r="G201" s="76"/>
      <c r="H201" s="76"/>
      <c r="I201" s="76"/>
      <c r="J201" s="76"/>
      <c r="K201" s="76"/>
      <c r="L201" s="76"/>
      <c r="M201" s="76"/>
      <c r="N201" s="76"/>
      <c r="O201" s="76"/>
      <c r="P201" s="76"/>
      <c r="Q201" s="76"/>
      <c r="R201" s="76"/>
      <c r="S201" s="76"/>
      <c r="T201" s="76"/>
      <c r="U201" s="76"/>
      <c r="V201" s="76"/>
      <c r="W201" s="76"/>
      <c r="X201" s="76"/>
      <c r="Y201" s="76"/>
      <c r="Z201" s="76"/>
      <c r="AA201" s="76"/>
      <c r="AB201" s="76"/>
    </row>
    <row r="202" spans="6:28">
      <c r="F202" s="76"/>
      <c r="G202" s="76"/>
      <c r="H202" s="76"/>
      <c r="I202" s="76"/>
      <c r="J202" s="76"/>
      <c r="K202" s="76"/>
      <c r="L202" s="76"/>
      <c r="M202" s="76"/>
      <c r="N202" s="76"/>
      <c r="O202" s="76"/>
      <c r="P202" s="76"/>
      <c r="Q202" s="76"/>
      <c r="R202" s="76"/>
      <c r="S202" s="76"/>
      <c r="T202" s="76"/>
      <c r="U202" s="76"/>
      <c r="V202" s="76"/>
      <c r="W202" s="76"/>
      <c r="X202" s="76"/>
      <c r="Y202" s="76"/>
      <c r="Z202" s="76"/>
      <c r="AA202" s="76"/>
      <c r="AB202" s="76"/>
    </row>
    <row r="203" spans="6:28">
      <c r="F203" s="76"/>
      <c r="G203" s="76"/>
      <c r="H203" s="76"/>
      <c r="I203" s="76"/>
      <c r="J203" s="76"/>
      <c r="K203" s="76"/>
      <c r="L203" s="76"/>
      <c r="M203" s="76"/>
      <c r="N203" s="76"/>
      <c r="O203" s="76"/>
      <c r="P203" s="76"/>
      <c r="Q203" s="76"/>
      <c r="R203" s="76"/>
      <c r="S203" s="76"/>
      <c r="T203" s="76"/>
      <c r="U203" s="76"/>
      <c r="V203" s="76"/>
      <c r="W203" s="76"/>
      <c r="X203" s="76"/>
      <c r="Y203" s="76"/>
      <c r="Z203" s="76"/>
      <c r="AA203" s="76"/>
      <c r="AB203" s="76"/>
    </row>
    <row r="204" spans="6:28">
      <c r="F204" s="76"/>
      <c r="G204" s="76"/>
      <c r="H204" s="76"/>
      <c r="I204" s="76"/>
      <c r="J204" s="76"/>
      <c r="K204" s="76"/>
      <c r="L204" s="76"/>
      <c r="M204" s="76"/>
      <c r="N204" s="76"/>
      <c r="O204" s="76"/>
      <c r="P204" s="76"/>
      <c r="Q204" s="76"/>
      <c r="R204" s="76"/>
      <c r="S204" s="76"/>
      <c r="T204" s="76"/>
      <c r="U204" s="76"/>
      <c r="V204" s="76"/>
      <c r="W204" s="76"/>
      <c r="X204" s="76"/>
      <c r="Y204" s="76"/>
      <c r="Z204" s="76"/>
      <c r="AA204" s="76"/>
      <c r="AB204" s="76"/>
    </row>
    <row r="205" spans="6:28">
      <c r="F205" s="76"/>
      <c r="G205" s="76"/>
      <c r="H205" s="76"/>
      <c r="I205" s="76"/>
      <c r="J205" s="76"/>
      <c r="K205" s="76"/>
      <c r="L205" s="76"/>
      <c r="M205" s="76"/>
      <c r="N205" s="76"/>
      <c r="O205" s="76"/>
      <c r="P205" s="76"/>
      <c r="Q205" s="76"/>
      <c r="R205" s="76"/>
      <c r="S205" s="76"/>
      <c r="T205" s="76"/>
      <c r="U205" s="76"/>
      <c r="V205" s="76"/>
      <c r="W205" s="76"/>
      <c r="X205" s="76"/>
      <c r="Y205" s="76"/>
      <c r="Z205" s="76"/>
      <c r="AA205" s="76"/>
      <c r="AB205" s="76"/>
    </row>
    <row r="206" spans="6:28">
      <c r="F206" s="76"/>
      <c r="G206" s="76"/>
      <c r="H206" s="76"/>
      <c r="I206" s="76"/>
      <c r="J206" s="76"/>
      <c r="K206" s="76"/>
      <c r="L206" s="76"/>
      <c r="M206" s="76"/>
      <c r="N206" s="76"/>
      <c r="O206" s="76"/>
      <c r="P206" s="76"/>
      <c r="Q206" s="76"/>
      <c r="R206" s="76"/>
      <c r="S206" s="76"/>
      <c r="T206" s="76"/>
      <c r="U206" s="76"/>
      <c r="V206" s="76"/>
      <c r="W206" s="76"/>
      <c r="X206" s="76"/>
      <c r="Y206" s="76"/>
      <c r="Z206" s="76"/>
      <c r="AA206" s="76"/>
      <c r="AB206" s="76"/>
    </row>
    <row r="207" spans="6:28">
      <c r="F207" s="76"/>
      <c r="G207" s="76"/>
      <c r="H207" s="76"/>
      <c r="I207" s="76"/>
      <c r="J207" s="76"/>
      <c r="K207" s="76"/>
      <c r="L207" s="76"/>
      <c r="M207" s="76"/>
      <c r="N207" s="76"/>
      <c r="O207" s="76"/>
      <c r="P207" s="76"/>
      <c r="Q207" s="76"/>
      <c r="R207" s="76"/>
      <c r="S207" s="76"/>
      <c r="T207" s="76"/>
      <c r="U207" s="76"/>
      <c r="V207" s="76"/>
      <c r="W207" s="76"/>
      <c r="X207" s="76"/>
      <c r="Y207" s="76"/>
      <c r="Z207" s="76"/>
      <c r="AA207" s="76"/>
      <c r="AB207" s="76"/>
    </row>
    <row r="208" spans="6:28">
      <c r="F208" s="76"/>
      <c r="G208" s="76"/>
      <c r="H208" s="76"/>
      <c r="I208" s="76"/>
      <c r="J208" s="76"/>
      <c r="K208" s="76"/>
      <c r="L208" s="76"/>
      <c r="M208" s="76"/>
      <c r="N208" s="76"/>
      <c r="O208" s="76"/>
      <c r="P208" s="76"/>
      <c r="Q208" s="76"/>
      <c r="R208" s="76"/>
      <c r="S208" s="76"/>
      <c r="T208" s="76"/>
      <c r="U208" s="76"/>
      <c r="V208" s="76"/>
      <c r="W208" s="76"/>
      <c r="X208" s="76"/>
      <c r="Y208" s="76"/>
      <c r="Z208" s="76"/>
      <c r="AA208" s="76"/>
      <c r="AB208" s="76"/>
    </row>
    <row r="209" spans="6:28">
      <c r="F209" s="76"/>
      <c r="G209" s="76"/>
      <c r="H209" s="76"/>
      <c r="I209" s="76"/>
      <c r="J209" s="76"/>
      <c r="K209" s="76"/>
      <c r="L209" s="76"/>
      <c r="M209" s="76"/>
      <c r="N209" s="76"/>
      <c r="O209" s="76"/>
      <c r="P209" s="76"/>
      <c r="Q209" s="76"/>
      <c r="R209" s="76"/>
      <c r="S209" s="76"/>
      <c r="T209" s="76"/>
      <c r="U209" s="76"/>
      <c r="V209" s="76"/>
      <c r="W209" s="76"/>
      <c r="X209" s="76"/>
      <c r="Y209" s="76"/>
      <c r="Z209" s="76"/>
      <c r="AA209" s="76"/>
      <c r="AB209" s="76"/>
    </row>
    <row r="210" spans="6:28">
      <c r="F210" s="76"/>
      <c r="G210" s="76"/>
      <c r="H210" s="76"/>
      <c r="I210" s="76"/>
      <c r="J210" s="76"/>
      <c r="K210" s="76"/>
      <c r="L210" s="76"/>
      <c r="M210" s="76"/>
      <c r="N210" s="76"/>
      <c r="O210" s="76"/>
      <c r="P210" s="76"/>
      <c r="Q210" s="76"/>
      <c r="R210" s="76"/>
      <c r="S210" s="76"/>
      <c r="T210" s="76"/>
      <c r="U210" s="76"/>
      <c r="V210" s="76"/>
      <c r="W210" s="76"/>
      <c r="X210" s="76"/>
      <c r="Y210" s="76"/>
      <c r="Z210" s="76"/>
      <c r="AA210" s="76"/>
      <c r="AB210" s="76"/>
    </row>
    <row r="211" spans="6:28">
      <c r="F211" s="76"/>
      <c r="G211" s="76"/>
      <c r="H211" s="76"/>
      <c r="I211" s="76"/>
      <c r="J211" s="76"/>
      <c r="K211" s="76"/>
      <c r="L211" s="76"/>
      <c r="M211" s="76"/>
      <c r="N211" s="76"/>
      <c r="O211" s="76"/>
      <c r="P211" s="76"/>
      <c r="Q211" s="76"/>
      <c r="R211" s="76"/>
      <c r="S211" s="76"/>
      <c r="T211" s="76"/>
      <c r="U211" s="76"/>
      <c r="V211" s="76"/>
      <c r="W211" s="76"/>
      <c r="X211" s="76"/>
      <c r="Y211" s="76"/>
      <c r="Z211" s="76"/>
      <c r="AA211" s="76"/>
      <c r="AB211" s="76"/>
    </row>
    <row r="212" spans="6:28">
      <c r="F212" s="76"/>
      <c r="G212" s="76"/>
      <c r="H212" s="76"/>
      <c r="I212" s="76"/>
      <c r="J212" s="76"/>
      <c r="K212" s="76"/>
      <c r="L212" s="76"/>
      <c r="M212" s="76"/>
      <c r="N212" s="76"/>
      <c r="O212" s="76"/>
      <c r="P212" s="76"/>
      <c r="Q212" s="76"/>
      <c r="R212" s="76"/>
      <c r="S212" s="76"/>
      <c r="T212" s="76"/>
      <c r="U212" s="76"/>
      <c r="V212" s="76"/>
      <c r="W212" s="76"/>
      <c r="X212" s="76"/>
      <c r="Y212" s="76"/>
      <c r="Z212" s="76"/>
      <c r="AA212" s="76"/>
      <c r="AB212" s="76"/>
    </row>
    <row r="213" spans="6:28">
      <c r="F213" s="76"/>
      <c r="G213" s="76"/>
      <c r="H213" s="76"/>
      <c r="I213" s="76"/>
      <c r="J213" s="76"/>
      <c r="K213" s="76"/>
      <c r="L213" s="76"/>
      <c r="M213" s="76"/>
      <c r="N213" s="76"/>
      <c r="O213" s="76"/>
      <c r="P213" s="76"/>
      <c r="Q213" s="76"/>
      <c r="R213" s="76"/>
      <c r="S213" s="76"/>
      <c r="T213" s="76"/>
      <c r="U213" s="76"/>
      <c r="V213" s="76"/>
      <c r="W213" s="76"/>
      <c r="X213" s="76"/>
      <c r="Y213" s="76"/>
      <c r="Z213" s="76"/>
      <c r="AA213" s="76"/>
      <c r="AB213" s="76"/>
    </row>
    <row r="214" spans="6:28">
      <c r="F214" s="76"/>
      <c r="G214" s="76"/>
      <c r="H214" s="76"/>
      <c r="I214" s="76"/>
      <c r="J214" s="76"/>
      <c r="K214" s="76"/>
      <c r="L214" s="76"/>
      <c r="M214" s="76"/>
      <c r="N214" s="76"/>
      <c r="O214" s="76"/>
      <c r="P214" s="76"/>
      <c r="Q214" s="76"/>
      <c r="R214" s="76"/>
      <c r="S214" s="76"/>
      <c r="T214" s="76"/>
      <c r="U214" s="76"/>
      <c r="V214" s="76"/>
      <c r="W214" s="76"/>
      <c r="X214" s="76"/>
      <c r="Y214" s="76"/>
      <c r="Z214" s="76"/>
      <c r="AA214" s="76"/>
      <c r="AB214" s="76"/>
    </row>
    <row r="215" spans="6:28">
      <c r="F215" s="76"/>
      <c r="G215" s="76"/>
      <c r="H215" s="76"/>
      <c r="I215" s="76"/>
      <c r="J215" s="76"/>
      <c r="K215" s="76"/>
      <c r="L215" s="76"/>
      <c r="M215" s="76"/>
      <c r="N215" s="76"/>
      <c r="O215" s="76"/>
      <c r="P215" s="76"/>
      <c r="Q215" s="76"/>
      <c r="R215" s="76"/>
      <c r="S215" s="76"/>
      <c r="T215" s="76"/>
      <c r="U215" s="76"/>
      <c r="V215" s="76"/>
      <c r="W215" s="76"/>
      <c r="X215" s="76"/>
      <c r="Y215" s="76"/>
      <c r="Z215" s="76"/>
      <c r="AA215" s="76"/>
      <c r="AB215" s="76"/>
    </row>
    <row r="216" spans="6:28">
      <c r="F216" s="76"/>
      <c r="G216" s="76"/>
      <c r="H216" s="76"/>
      <c r="I216" s="76"/>
      <c r="J216" s="76"/>
      <c r="K216" s="76"/>
      <c r="L216" s="76"/>
      <c r="M216" s="76"/>
      <c r="N216" s="76"/>
      <c r="O216" s="76"/>
      <c r="P216" s="76"/>
      <c r="Q216" s="76"/>
      <c r="R216" s="76"/>
      <c r="S216" s="76"/>
      <c r="T216" s="76"/>
      <c r="U216" s="76"/>
      <c r="V216" s="76"/>
      <c r="W216" s="76"/>
      <c r="X216" s="76"/>
      <c r="Y216" s="76"/>
      <c r="Z216" s="76"/>
      <c r="AA216" s="76"/>
      <c r="AB216" s="76"/>
    </row>
    <row r="217" spans="6:28">
      <c r="F217" s="76"/>
      <c r="G217" s="76"/>
      <c r="H217" s="76"/>
      <c r="I217" s="76"/>
      <c r="J217" s="76"/>
      <c r="K217" s="76"/>
      <c r="L217" s="76"/>
      <c r="M217" s="76"/>
      <c r="N217" s="76"/>
      <c r="O217" s="76"/>
      <c r="P217" s="76"/>
      <c r="Q217" s="76"/>
      <c r="R217" s="76"/>
      <c r="S217" s="76"/>
      <c r="T217" s="76"/>
      <c r="U217" s="76"/>
      <c r="V217" s="76"/>
      <c r="W217" s="76"/>
      <c r="X217" s="76"/>
      <c r="Y217" s="76"/>
      <c r="Z217" s="76"/>
      <c r="AA217" s="76"/>
      <c r="AB217" s="76"/>
    </row>
    <row r="218" spans="6:28">
      <c r="F218" s="76"/>
      <c r="G218" s="76"/>
      <c r="H218" s="76"/>
      <c r="I218" s="76"/>
      <c r="J218" s="76"/>
      <c r="K218" s="76"/>
      <c r="L218" s="76"/>
      <c r="M218" s="76"/>
      <c r="N218" s="76"/>
      <c r="O218" s="76"/>
      <c r="P218" s="76"/>
      <c r="Q218" s="76"/>
      <c r="R218" s="76"/>
      <c r="S218" s="76"/>
      <c r="T218" s="76"/>
      <c r="U218" s="76"/>
      <c r="V218" s="76"/>
      <c r="W218" s="76"/>
      <c r="X218" s="76"/>
      <c r="Y218" s="76"/>
      <c r="Z218" s="76"/>
      <c r="AA218" s="76"/>
      <c r="AB218" s="76"/>
    </row>
    <row r="219" spans="6:28">
      <c r="F219" s="76"/>
      <c r="G219" s="76"/>
      <c r="H219" s="76"/>
      <c r="I219" s="76"/>
      <c r="J219" s="76"/>
      <c r="K219" s="76"/>
      <c r="L219" s="76"/>
      <c r="M219" s="76"/>
      <c r="N219" s="76"/>
      <c r="O219" s="76"/>
      <c r="P219" s="76"/>
      <c r="Q219" s="76"/>
      <c r="R219" s="76"/>
      <c r="S219" s="76"/>
      <c r="T219" s="76"/>
      <c r="U219" s="76"/>
      <c r="V219" s="76"/>
      <c r="W219" s="76"/>
      <c r="X219" s="76"/>
      <c r="Y219" s="76"/>
      <c r="Z219" s="76"/>
      <c r="AA219" s="76"/>
      <c r="AB219" s="76"/>
    </row>
    <row r="220" spans="6:28">
      <c r="F220" s="76"/>
      <c r="G220" s="76"/>
      <c r="H220" s="76"/>
      <c r="I220" s="76"/>
      <c r="J220" s="76"/>
      <c r="K220" s="76"/>
      <c r="L220" s="76"/>
      <c r="M220" s="76"/>
      <c r="N220" s="76"/>
      <c r="O220" s="76"/>
      <c r="P220" s="76"/>
      <c r="Q220" s="76"/>
      <c r="R220" s="76"/>
      <c r="S220" s="76"/>
      <c r="T220" s="76"/>
      <c r="U220" s="76"/>
      <c r="V220" s="76"/>
      <c r="W220" s="76"/>
      <c r="X220" s="76"/>
      <c r="Y220" s="76"/>
      <c r="Z220" s="76"/>
      <c r="AA220" s="76"/>
      <c r="AB220" s="76"/>
    </row>
    <row r="221" spans="6:28">
      <c r="F221" s="76"/>
      <c r="G221" s="76"/>
      <c r="H221" s="76"/>
      <c r="I221" s="76"/>
      <c r="J221" s="76"/>
      <c r="K221" s="76"/>
      <c r="L221" s="76"/>
      <c r="M221" s="76"/>
      <c r="N221" s="76"/>
      <c r="O221" s="76"/>
      <c r="P221" s="76"/>
      <c r="Q221" s="76"/>
      <c r="R221" s="76"/>
      <c r="S221" s="76"/>
      <c r="T221" s="76"/>
      <c r="U221" s="76"/>
      <c r="V221" s="76"/>
      <c r="W221" s="76"/>
      <c r="X221" s="76"/>
      <c r="Y221" s="76"/>
      <c r="Z221" s="76"/>
      <c r="AA221" s="76"/>
      <c r="AB221" s="76"/>
    </row>
    <row r="222" spans="6:28">
      <c r="F222" s="76"/>
      <c r="G222" s="76"/>
      <c r="H222" s="76"/>
      <c r="I222" s="76"/>
      <c r="J222" s="76"/>
      <c r="K222" s="76"/>
      <c r="L222" s="76"/>
      <c r="M222" s="76"/>
      <c r="N222" s="76"/>
      <c r="O222" s="76"/>
      <c r="P222" s="76"/>
      <c r="Q222" s="76"/>
      <c r="R222" s="76"/>
      <c r="S222" s="76"/>
      <c r="T222" s="76"/>
      <c r="U222" s="76"/>
      <c r="V222" s="76"/>
      <c r="W222" s="76"/>
      <c r="X222" s="76"/>
      <c r="Y222" s="76"/>
      <c r="Z222" s="76"/>
      <c r="AA222" s="76"/>
      <c r="AB222" s="76"/>
    </row>
    <row r="223" spans="6:28">
      <c r="F223" s="76"/>
      <c r="G223" s="76"/>
      <c r="H223" s="76"/>
      <c r="I223" s="76"/>
      <c r="J223" s="76"/>
      <c r="K223" s="76"/>
      <c r="L223" s="76"/>
      <c r="M223" s="76"/>
      <c r="N223" s="76"/>
      <c r="O223" s="76"/>
      <c r="P223" s="76"/>
      <c r="Q223" s="76"/>
      <c r="R223" s="76"/>
      <c r="S223" s="76"/>
      <c r="T223" s="76"/>
      <c r="U223" s="76"/>
      <c r="V223" s="76"/>
      <c r="W223" s="76"/>
      <c r="X223" s="76"/>
      <c r="Y223" s="76"/>
      <c r="Z223" s="76"/>
      <c r="AA223" s="76"/>
      <c r="AB223" s="76"/>
    </row>
    <row r="224" spans="6:28">
      <c r="F224" s="76"/>
      <c r="G224" s="76"/>
      <c r="H224" s="76"/>
      <c r="I224" s="76"/>
      <c r="J224" s="76"/>
      <c r="K224" s="76"/>
      <c r="L224" s="76"/>
      <c r="M224" s="76"/>
      <c r="N224" s="76"/>
      <c r="O224" s="76"/>
      <c r="P224" s="76"/>
      <c r="Q224" s="76"/>
      <c r="R224" s="76"/>
      <c r="S224" s="76"/>
      <c r="T224" s="76"/>
      <c r="U224" s="76"/>
      <c r="V224" s="76"/>
      <c r="W224" s="76"/>
      <c r="X224" s="76"/>
      <c r="Y224" s="76"/>
      <c r="Z224" s="76"/>
      <c r="AA224" s="76"/>
      <c r="AB224" s="76"/>
    </row>
    <row r="225" spans="6:28">
      <c r="F225" s="76"/>
      <c r="G225" s="76"/>
      <c r="H225" s="76"/>
      <c r="I225" s="76"/>
      <c r="J225" s="76"/>
      <c r="K225" s="76"/>
      <c r="L225" s="76"/>
      <c r="M225" s="76"/>
      <c r="N225" s="76"/>
      <c r="O225" s="76"/>
      <c r="P225" s="76"/>
      <c r="Q225" s="76"/>
      <c r="R225" s="76"/>
      <c r="S225" s="76"/>
      <c r="T225" s="76"/>
      <c r="U225" s="76"/>
      <c r="V225" s="76"/>
      <c r="W225" s="76"/>
      <c r="X225" s="76"/>
      <c r="Y225" s="76"/>
      <c r="Z225" s="76"/>
      <c r="AA225" s="76"/>
      <c r="AB225" s="76"/>
    </row>
    <row r="226" spans="6:28">
      <c r="F226" s="76"/>
      <c r="G226" s="76"/>
      <c r="H226" s="76"/>
      <c r="I226" s="76"/>
      <c r="J226" s="76"/>
      <c r="K226" s="76"/>
      <c r="L226" s="76"/>
      <c r="M226" s="76"/>
      <c r="N226" s="76"/>
      <c r="O226" s="76"/>
      <c r="P226" s="76"/>
      <c r="Q226" s="76"/>
      <c r="R226" s="76"/>
      <c r="S226" s="76"/>
      <c r="T226" s="76"/>
      <c r="U226" s="76"/>
      <c r="V226" s="76"/>
      <c r="W226" s="76"/>
      <c r="X226" s="76"/>
      <c r="Y226" s="76"/>
      <c r="Z226" s="76"/>
      <c r="AA226" s="76"/>
      <c r="AB226" s="76"/>
    </row>
    <row r="227" spans="6:28">
      <c r="F227" s="76"/>
      <c r="G227" s="76"/>
      <c r="H227" s="76"/>
      <c r="I227" s="76"/>
      <c r="J227" s="76"/>
      <c r="K227" s="76"/>
      <c r="L227" s="76"/>
      <c r="M227" s="76"/>
      <c r="N227" s="76"/>
      <c r="O227" s="76"/>
      <c r="P227" s="76"/>
      <c r="Q227" s="76"/>
      <c r="R227" s="76"/>
      <c r="S227" s="76"/>
      <c r="T227" s="76"/>
      <c r="U227" s="76"/>
      <c r="V227" s="76"/>
      <c r="W227" s="76"/>
      <c r="X227" s="76"/>
      <c r="Y227" s="76"/>
      <c r="Z227" s="76"/>
      <c r="AA227" s="76"/>
      <c r="AB227" s="76"/>
    </row>
    <row r="228" spans="6:28">
      <c r="F228" s="76"/>
      <c r="G228" s="76"/>
      <c r="H228" s="76"/>
      <c r="I228" s="76"/>
      <c r="J228" s="76"/>
      <c r="K228" s="76"/>
      <c r="L228" s="76"/>
      <c r="M228" s="76"/>
      <c r="N228" s="76"/>
      <c r="O228" s="76"/>
      <c r="P228" s="76"/>
      <c r="Q228" s="76"/>
      <c r="R228" s="76"/>
      <c r="S228" s="76"/>
      <c r="T228" s="76"/>
      <c r="U228" s="76"/>
      <c r="V228" s="76"/>
      <c r="W228" s="76"/>
      <c r="X228" s="76"/>
      <c r="Y228" s="76"/>
      <c r="Z228" s="76"/>
      <c r="AA228" s="76"/>
      <c r="AB228" s="76"/>
    </row>
    <row r="229" spans="6:28">
      <c r="F229" s="76"/>
      <c r="G229" s="76"/>
      <c r="H229" s="76"/>
      <c r="I229" s="76"/>
      <c r="J229" s="76"/>
      <c r="K229" s="76"/>
      <c r="L229" s="76"/>
      <c r="M229" s="76"/>
      <c r="N229" s="76"/>
      <c r="O229" s="76"/>
      <c r="P229" s="76"/>
      <c r="Q229" s="76"/>
      <c r="R229" s="76"/>
      <c r="S229" s="76"/>
      <c r="T229" s="76"/>
      <c r="U229" s="76"/>
      <c r="V229" s="76"/>
      <c r="W229" s="76"/>
      <c r="X229" s="76"/>
      <c r="Y229" s="76"/>
      <c r="Z229" s="76"/>
      <c r="AA229" s="76"/>
      <c r="AB229" s="76"/>
    </row>
    <row r="230" spans="6:28">
      <c r="F230" s="76"/>
      <c r="G230" s="76"/>
      <c r="H230" s="76"/>
      <c r="I230" s="76"/>
      <c r="J230" s="76"/>
      <c r="K230" s="76"/>
      <c r="L230" s="76"/>
      <c r="M230" s="76"/>
      <c r="N230" s="76"/>
      <c r="O230" s="76"/>
      <c r="P230" s="76"/>
      <c r="Q230" s="76"/>
      <c r="R230" s="76"/>
      <c r="S230" s="76"/>
      <c r="T230" s="76"/>
      <c r="U230" s="76"/>
      <c r="V230" s="76"/>
      <c r="W230" s="76"/>
      <c r="X230" s="76"/>
      <c r="Y230" s="76"/>
      <c r="Z230" s="76"/>
      <c r="AA230" s="76"/>
      <c r="AB230" s="76"/>
    </row>
    <row r="231" spans="6:28">
      <c r="F231" s="76"/>
      <c r="G231" s="76"/>
      <c r="H231" s="76"/>
      <c r="I231" s="76"/>
      <c r="J231" s="76"/>
      <c r="K231" s="76"/>
      <c r="L231" s="76"/>
      <c r="M231" s="76"/>
      <c r="N231" s="76"/>
      <c r="O231" s="76"/>
      <c r="P231" s="76"/>
      <c r="Q231" s="76"/>
      <c r="R231" s="76"/>
      <c r="S231" s="76"/>
      <c r="T231" s="76"/>
      <c r="U231" s="76"/>
      <c r="V231" s="76"/>
      <c r="W231" s="76"/>
      <c r="X231" s="76"/>
      <c r="Y231" s="76"/>
      <c r="Z231" s="76"/>
      <c r="AA231" s="76"/>
      <c r="AB231" s="76"/>
    </row>
    <row r="232" spans="6:28">
      <c r="F232" s="76"/>
      <c r="G232" s="76"/>
      <c r="H232" s="76"/>
      <c r="I232" s="76"/>
      <c r="J232" s="76"/>
      <c r="K232" s="76"/>
      <c r="L232" s="76"/>
      <c r="M232" s="76"/>
      <c r="N232" s="76"/>
      <c r="O232" s="76"/>
      <c r="P232" s="76"/>
      <c r="Q232" s="76"/>
      <c r="R232" s="76"/>
      <c r="S232" s="76"/>
      <c r="T232" s="76"/>
      <c r="U232" s="76"/>
      <c r="V232" s="76"/>
      <c r="W232" s="76"/>
      <c r="X232" s="76"/>
      <c r="Y232" s="76"/>
      <c r="Z232" s="76"/>
      <c r="AA232" s="76"/>
      <c r="AB232" s="76"/>
    </row>
    <row r="233" spans="6:28">
      <c r="F233" s="76"/>
      <c r="G233" s="76"/>
      <c r="H233" s="76"/>
      <c r="I233" s="76"/>
      <c r="J233" s="76"/>
      <c r="K233" s="76"/>
      <c r="L233" s="76"/>
      <c r="M233" s="76"/>
      <c r="N233" s="76"/>
      <c r="O233" s="76"/>
      <c r="P233" s="76"/>
      <c r="Q233" s="76"/>
      <c r="R233" s="76"/>
      <c r="S233" s="76"/>
      <c r="T233" s="76"/>
      <c r="U233" s="76"/>
      <c r="V233" s="76"/>
      <c r="W233" s="76"/>
      <c r="X233" s="76"/>
      <c r="Y233" s="76"/>
      <c r="Z233" s="76"/>
      <c r="AA233" s="76"/>
      <c r="AB233" s="76"/>
    </row>
    <row r="234" spans="6:28">
      <c r="F234" s="76"/>
      <c r="G234" s="76"/>
      <c r="H234" s="76"/>
      <c r="I234" s="76"/>
      <c r="J234" s="76"/>
      <c r="K234" s="76"/>
      <c r="L234" s="76"/>
      <c r="M234" s="76"/>
      <c r="N234" s="76"/>
      <c r="O234" s="76"/>
      <c r="P234" s="76"/>
      <c r="Q234" s="76"/>
      <c r="R234" s="76"/>
      <c r="S234" s="76"/>
      <c r="T234" s="76"/>
      <c r="U234" s="76"/>
      <c r="V234" s="76"/>
      <c r="W234" s="76"/>
      <c r="X234" s="76"/>
      <c r="Y234" s="76"/>
      <c r="Z234" s="76"/>
      <c r="AA234" s="76"/>
      <c r="AB234" s="76"/>
    </row>
    <row r="235" spans="6:28">
      <c r="F235" s="76"/>
      <c r="G235" s="76"/>
      <c r="H235" s="76"/>
      <c r="I235" s="76"/>
      <c r="J235" s="76"/>
      <c r="K235" s="76"/>
      <c r="L235" s="76"/>
      <c r="M235" s="76"/>
      <c r="N235" s="76"/>
      <c r="O235" s="76"/>
      <c r="P235" s="76"/>
      <c r="Q235" s="76"/>
      <c r="R235" s="76"/>
      <c r="S235" s="76"/>
      <c r="T235" s="76"/>
      <c r="U235" s="76"/>
      <c r="V235" s="76"/>
      <c r="W235" s="76"/>
      <c r="X235" s="76"/>
      <c r="Y235" s="76"/>
      <c r="Z235" s="76"/>
      <c r="AA235" s="76"/>
      <c r="AB235" s="76"/>
    </row>
    <row r="236" spans="6:28">
      <c r="F236" s="76"/>
      <c r="G236" s="76"/>
      <c r="H236" s="76"/>
      <c r="I236" s="76"/>
      <c r="J236" s="76"/>
      <c r="K236" s="76"/>
      <c r="L236" s="76"/>
      <c r="M236" s="76"/>
      <c r="N236" s="76"/>
      <c r="O236" s="76"/>
      <c r="P236" s="76"/>
      <c r="Q236" s="76"/>
      <c r="R236" s="76"/>
      <c r="S236" s="76"/>
      <c r="T236" s="76"/>
      <c r="U236" s="76"/>
      <c r="V236" s="76"/>
      <c r="W236" s="76"/>
      <c r="X236" s="76"/>
      <c r="Y236" s="76"/>
      <c r="Z236" s="76"/>
      <c r="AA236" s="76"/>
      <c r="AB236" s="76"/>
    </row>
    <row r="237" spans="6:28">
      <c r="F237" s="76"/>
      <c r="G237" s="76"/>
      <c r="H237" s="76"/>
      <c r="I237" s="76"/>
      <c r="J237" s="76"/>
      <c r="K237" s="76"/>
      <c r="L237" s="76"/>
      <c r="M237" s="76"/>
      <c r="N237" s="76"/>
      <c r="O237" s="76"/>
      <c r="P237" s="76"/>
      <c r="Q237" s="76"/>
      <c r="R237" s="76"/>
      <c r="S237" s="76"/>
      <c r="T237" s="76"/>
      <c r="U237" s="76"/>
      <c r="V237" s="76"/>
      <c r="W237" s="76"/>
      <c r="X237" s="76"/>
      <c r="Y237" s="76"/>
      <c r="Z237" s="76"/>
      <c r="AA237" s="76"/>
      <c r="AB237" s="76"/>
    </row>
    <row r="238" spans="6:28">
      <c r="F238" s="76"/>
      <c r="G238" s="76"/>
      <c r="H238" s="76"/>
      <c r="I238" s="76"/>
      <c r="J238" s="76"/>
      <c r="K238" s="76"/>
      <c r="L238" s="76"/>
      <c r="M238" s="76"/>
      <c r="N238" s="76"/>
      <c r="O238" s="76"/>
      <c r="P238" s="76"/>
      <c r="Q238" s="76"/>
      <c r="R238" s="76"/>
      <c r="S238" s="76"/>
      <c r="T238" s="76"/>
      <c r="U238" s="76"/>
      <c r="V238" s="76"/>
      <c r="W238" s="76"/>
      <c r="X238" s="76"/>
      <c r="Y238" s="76"/>
      <c r="Z238" s="76"/>
      <c r="AA238" s="76"/>
      <c r="AB238" s="76"/>
    </row>
    <row r="239" spans="6:28">
      <c r="F239" s="76"/>
      <c r="G239" s="76"/>
      <c r="H239" s="76"/>
      <c r="I239" s="76"/>
      <c r="J239" s="76"/>
      <c r="K239" s="76"/>
      <c r="L239" s="76"/>
      <c r="M239" s="76"/>
      <c r="N239" s="76"/>
      <c r="O239" s="76"/>
      <c r="P239" s="76"/>
      <c r="Q239" s="76"/>
      <c r="R239" s="76"/>
      <c r="S239" s="76"/>
      <c r="T239" s="76"/>
      <c r="U239" s="76"/>
      <c r="V239" s="76"/>
      <c r="W239" s="76"/>
      <c r="X239" s="76"/>
      <c r="Y239" s="76"/>
      <c r="Z239" s="76"/>
      <c r="AA239" s="76"/>
      <c r="AB239" s="76"/>
    </row>
    <row r="240" spans="6:28">
      <c r="F240" s="76"/>
      <c r="G240" s="76"/>
      <c r="H240" s="76"/>
      <c r="I240" s="76"/>
      <c r="J240" s="76"/>
      <c r="K240" s="76"/>
      <c r="L240" s="76"/>
      <c r="M240" s="76"/>
      <c r="N240" s="76"/>
      <c r="O240" s="76"/>
      <c r="P240" s="76"/>
      <c r="Q240" s="76"/>
      <c r="R240" s="76"/>
      <c r="S240" s="76"/>
      <c r="T240" s="76"/>
      <c r="U240" s="76"/>
      <c r="V240" s="76"/>
      <c r="W240" s="76"/>
      <c r="X240" s="76"/>
      <c r="Y240" s="76"/>
      <c r="Z240" s="76"/>
      <c r="AA240" s="76"/>
      <c r="AB240" s="76"/>
    </row>
    <row r="241" spans="6:28">
      <c r="F241" s="76"/>
      <c r="G241" s="76"/>
      <c r="H241" s="76"/>
      <c r="I241" s="76"/>
      <c r="J241" s="76"/>
      <c r="K241" s="76"/>
      <c r="L241" s="76"/>
      <c r="M241" s="76"/>
      <c r="N241" s="76"/>
      <c r="O241" s="76"/>
      <c r="P241" s="76"/>
      <c r="Q241" s="76"/>
      <c r="R241" s="76"/>
      <c r="S241" s="76"/>
      <c r="T241" s="76"/>
      <c r="U241" s="76"/>
      <c r="V241" s="76"/>
      <c r="W241" s="76"/>
      <c r="X241" s="76"/>
      <c r="Y241" s="76"/>
      <c r="Z241" s="76"/>
      <c r="AA241" s="76"/>
      <c r="AB241" s="76"/>
    </row>
    <row r="242" spans="6:28">
      <c r="F242" s="76"/>
      <c r="G242" s="76"/>
      <c r="H242" s="76"/>
      <c r="I242" s="76"/>
      <c r="J242" s="76"/>
      <c r="K242" s="76"/>
      <c r="L242" s="76"/>
      <c r="M242" s="76"/>
      <c r="N242" s="76"/>
      <c r="O242" s="76"/>
      <c r="P242" s="76"/>
      <c r="Q242" s="76"/>
      <c r="R242" s="76"/>
      <c r="S242" s="76"/>
      <c r="T242" s="76"/>
      <c r="U242" s="76"/>
      <c r="V242" s="76"/>
      <c r="W242" s="76"/>
      <c r="X242" s="76"/>
      <c r="Y242" s="76"/>
      <c r="Z242" s="76"/>
      <c r="AA242" s="76"/>
      <c r="AB242" s="76"/>
    </row>
    <row r="243" spans="6:28">
      <c r="F243" s="76"/>
      <c r="G243" s="76"/>
      <c r="H243" s="76"/>
      <c r="I243" s="76"/>
      <c r="J243" s="76"/>
      <c r="K243" s="76"/>
      <c r="L243" s="76"/>
      <c r="M243" s="76"/>
      <c r="N243" s="76"/>
      <c r="O243" s="76"/>
      <c r="P243" s="76"/>
      <c r="Q243" s="76"/>
      <c r="R243" s="76"/>
      <c r="S243" s="76"/>
      <c r="T243" s="76"/>
      <c r="U243" s="76"/>
      <c r="V243" s="76"/>
      <c r="W243" s="76"/>
      <c r="X243" s="76"/>
      <c r="Y243" s="76"/>
      <c r="Z243" s="76"/>
      <c r="AA243" s="76"/>
      <c r="AB243" s="76"/>
    </row>
    <row r="244" spans="6:28">
      <c r="F244" s="76"/>
      <c r="G244" s="76"/>
      <c r="H244" s="76"/>
      <c r="I244" s="76"/>
      <c r="J244" s="76"/>
      <c r="K244" s="76"/>
      <c r="L244" s="76"/>
      <c r="M244" s="76"/>
      <c r="N244" s="76"/>
      <c r="O244" s="76"/>
      <c r="P244" s="76"/>
      <c r="Q244" s="76"/>
      <c r="R244" s="76"/>
      <c r="S244" s="76"/>
      <c r="T244" s="76"/>
      <c r="U244" s="76"/>
      <c r="V244" s="76"/>
      <c r="W244" s="76"/>
      <c r="X244" s="76"/>
      <c r="Y244" s="76"/>
      <c r="Z244" s="76"/>
      <c r="AA244" s="76"/>
      <c r="AB244" s="76"/>
    </row>
    <row r="245" spans="6:28">
      <c r="F245" s="76"/>
      <c r="G245" s="76"/>
      <c r="H245" s="76"/>
      <c r="I245" s="76"/>
      <c r="J245" s="76"/>
      <c r="K245" s="76"/>
      <c r="L245" s="76"/>
      <c r="M245" s="76"/>
      <c r="N245" s="76"/>
      <c r="O245" s="76"/>
      <c r="P245" s="76"/>
      <c r="Q245" s="76"/>
      <c r="R245" s="76"/>
      <c r="S245" s="76"/>
      <c r="T245" s="76"/>
      <c r="U245" s="76"/>
      <c r="V245" s="76"/>
      <c r="W245" s="76"/>
      <c r="X245" s="76"/>
      <c r="Y245" s="76"/>
      <c r="Z245" s="76"/>
      <c r="AA245" s="76"/>
      <c r="AB245" s="76"/>
    </row>
    <row r="246" spans="6:28">
      <c r="F246" s="76"/>
      <c r="G246" s="76"/>
      <c r="H246" s="76"/>
      <c r="I246" s="76"/>
      <c r="J246" s="76"/>
      <c r="K246" s="76"/>
      <c r="L246" s="76"/>
      <c r="M246" s="76"/>
      <c r="N246" s="76"/>
      <c r="O246" s="76"/>
      <c r="P246" s="76"/>
      <c r="Q246" s="76"/>
      <c r="R246" s="76"/>
      <c r="S246" s="76"/>
      <c r="T246" s="76"/>
      <c r="U246" s="76"/>
      <c r="V246" s="76"/>
      <c r="W246" s="76"/>
      <c r="X246" s="76"/>
      <c r="Y246" s="76"/>
      <c r="Z246" s="76"/>
      <c r="AA246" s="76"/>
      <c r="AB246" s="76"/>
    </row>
    <row r="247" spans="6:28">
      <c r="F247" s="76"/>
      <c r="G247" s="76"/>
      <c r="H247" s="76"/>
      <c r="I247" s="76"/>
      <c r="J247" s="76"/>
      <c r="K247" s="76"/>
      <c r="L247" s="76"/>
      <c r="M247" s="76"/>
      <c r="N247" s="76"/>
      <c r="O247" s="76"/>
      <c r="P247" s="76"/>
      <c r="Q247" s="76"/>
      <c r="R247" s="76"/>
      <c r="S247" s="76"/>
      <c r="T247" s="76"/>
      <c r="U247" s="76"/>
      <c r="V247" s="76"/>
      <c r="W247" s="76"/>
      <c r="X247" s="76"/>
      <c r="Y247" s="76"/>
      <c r="Z247" s="76"/>
      <c r="AA247" s="76"/>
      <c r="AB247" s="76"/>
    </row>
    <row r="248" spans="6:28">
      <c r="F248" s="76"/>
      <c r="G248" s="76"/>
      <c r="H248" s="76"/>
      <c r="I248" s="76"/>
      <c r="J248" s="76"/>
      <c r="K248" s="76"/>
      <c r="L248" s="76"/>
      <c r="M248" s="76"/>
      <c r="N248" s="76"/>
      <c r="O248" s="76"/>
      <c r="P248" s="76"/>
      <c r="Q248" s="76"/>
      <c r="R248" s="76"/>
      <c r="S248" s="76"/>
      <c r="T248" s="76"/>
      <c r="U248" s="76"/>
      <c r="V248" s="76"/>
      <c r="W248" s="76"/>
      <c r="X248" s="76"/>
      <c r="Y248" s="76"/>
      <c r="Z248" s="76"/>
      <c r="AA248" s="76"/>
      <c r="AB248" s="76"/>
    </row>
    <row r="249" spans="6:28">
      <c r="F249" s="76"/>
      <c r="G249" s="76"/>
      <c r="H249" s="76"/>
      <c r="I249" s="76"/>
      <c r="J249" s="76"/>
      <c r="K249" s="76"/>
      <c r="L249" s="76"/>
      <c r="M249" s="76"/>
      <c r="N249" s="76"/>
      <c r="O249" s="76"/>
      <c r="P249" s="76"/>
      <c r="Q249" s="76"/>
      <c r="R249" s="76"/>
      <c r="S249" s="76"/>
      <c r="T249" s="76"/>
      <c r="U249" s="76"/>
      <c r="V249" s="76"/>
      <c r="W249" s="76"/>
      <c r="X249" s="76"/>
      <c r="Y249" s="76"/>
      <c r="Z249" s="76"/>
      <c r="AA249" s="76"/>
      <c r="AB249" s="76"/>
    </row>
    <row r="250" spans="6:28">
      <c r="F250" s="76"/>
      <c r="G250" s="76"/>
      <c r="H250" s="76"/>
      <c r="I250" s="76"/>
      <c r="J250" s="76"/>
      <c r="K250" s="76"/>
      <c r="L250" s="76"/>
      <c r="M250" s="76"/>
      <c r="N250" s="76"/>
      <c r="O250" s="76"/>
      <c r="P250" s="76"/>
      <c r="Q250" s="76"/>
      <c r="R250" s="76"/>
      <c r="S250" s="76"/>
      <c r="T250" s="76"/>
      <c r="U250" s="76"/>
      <c r="V250" s="76"/>
      <c r="W250" s="76"/>
      <c r="X250" s="76"/>
      <c r="Y250" s="76"/>
      <c r="Z250" s="76"/>
      <c r="AA250" s="76"/>
      <c r="AB250" s="76"/>
    </row>
    <row r="251" spans="6:28">
      <c r="F251" s="76"/>
      <c r="G251" s="76"/>
      <c r="H251" s="76"/>
      <c r="I251" s="76"/>
      <c r="J251" s="76"/>
      <c r="K251" s="76"/>
      <c r="L251" s="76"/>
      <c r="M251" s="76"/>
      <c r="N251" s="76"/>
      <c r="O251" s="76"/>
      <c r="P251" s="76"/>
      <c r="Q251" s="76"/>
      <c r="R251" s="76"/>
      <c r="S251" s="76"/>
      <c r="T251" s="76"/>
      <c r="U251" s="76"/>
      <c r="V251" s="76"/>
      <c r="W251" s="76"/>
      <c r="X251" s="76"/>
      <c r="Y251" s="76"/>
      <c r="Z251" s="76"/>
      <c r="AA251" s="76"/>
      <c r="AB251" s="76"/>
    </row>
    <row r="252" spans="6:28">
      <c r="F252" s="76"/>
      <c r="G252" s="76"/>
      <c r="H252" s="76"/>
      <c r="I252" s="76"/>
      <c r="J252" s="76"/>
      <c r="K252" s="76"/>
      <c r="L252" s="76"/>
      <c r="M252" s="76"/>
      <c r="N252" s="76"/>
      <c r="O252" s="76"/>
      <c r="P252" s="76"/>
      <c r="Q252" s="76"/>
      <c r="R252" s="76"/>
      <c r="S252" s="76"/>
      <c r="T252" s="76"/>
      <c r="U252" s="76"/>
      <c r="V252" s="76"/>
      <c r="W252" s="76"/>
      <c r="X252" s="76"/>
      <c r="Y252" s="76"/>
      <c r="Z252" s="76"/>
      <c r="AA252" s="76"/>
      <c r="AB252" s="76"/>
    </row>
    <row r="253" spans="6:28">
      <c r="F253" s="76"/>
      <c r="G253" s="76"/>
      <c r="H253" s="76"/>
      <c r="I253" s="76"/>
      <c r="J253" s="76"/>
      <c r="K253" s="76"/>
      <c r="L253" s="76"/>
      <c r="M253" s="76"/>
      <c r="N253" s="76"/>
      <c r="O253" s="76"/>
      <c r="P253" s="76"/>
      <c r="Q253" s="76"/>
      <c r="R253" s="76"/>
      <c r="S253" s="76"/>
      <c r="T253" s="76"/>
      <c r="U253" s="76"/>
      <c r="V253" s="76"/>
      <c r="W253" s="76"/>
      <c r="X253" s="76"/>
      <c r="Y253" s="76"/>
      <c r="Z253" s="76"/>
      <c r="AA253" s="76"/>
      <c r="AB253" s="76"/>
    </row>
    <row r="254" spans="6:28">
      <c r="F254" s="76"/>
      <c r="G254" s="76"/>
      <c r="H254" s="76"/>
      <c r="I254" s="76"/>
      <c r="J254" s="76"/>
      <c r="K254" s="76"/>
      <c r="L254" s="76"/>
      <c r="M254" s="76"/>
      <c r="N254" s="76"/>
      <c r="O254" s="76"/>
      <c r="P254" s="76"/>
      <c r="Q254" s="76"/>
      <c r="R254" s="76"/>
      <c r="S254" s="76"/>
      <c r="T254" s="76"/>
      <c r="U254" s="76"/>
      <c r="V254" s="76"/>
      <c r="W254" s="76"/>
      <c r="X254" s="76"/>
      <c r="Y254" s="76"/>
      <c r="Z254" s="76"/>
      <c r="AA254" s="76"/>
      <c r="AB254" s="76"/>
    </row>
    <row r="255" spans="6:28">
      <c r="F255" s="76"/>
      <c r="G255" s="76"/>
      <c r="H255" s="76"/>
      <c r="I255" s="76"/>
      <c r="J255" s="76"/>
      <c r="K255" s="76"/>
      <c r="L255" s="76"/>
      <c r="M255" s="76"/>
      <c r="N255" s="76"/>
      <c r="O255" s="76"/>
      <c r="P255" s="76"/>
      <c r="Q255" s="76"/>
      <c r="R255" s="76"/>
      <c r="S255" s="76"/>
      <c r="T255" s="76"/>
      <c r="U255" s="76"/>
      <c r="V255" s="76"/>
      <c r="W255" s="76"/>
      <c r="X255" s="76"/>
      <c r="Y255" s="76"/>
      <c r="Z255" s="76"/>
      <c r="AA255" s="76"/>
      <c r="AB255" s="76"/>
    </row>
    <row r="256" spans="6:28">
      <c r="F256" s="76"/>
      <c r="G256" s="76"/>
      <c r="H256" s="76"/>
      <c r="I256" s="76"/>
      <c r="J256" s="76"/>
      <c r="K256" s="76"/>
      <c r="L256" s="76"/>
      <c r="M256" s="76"/>
      <c r="N256" s="76"/>
      <c r="O256" s="76"/>
      <c r="P256" s="76"/>
      <c r="Q256" s="76"/>
      <c r="R256" s="76"/>
      <c r="S256" s="76"/>
      <c r="T256" s="76"/>
      <c r="U256" s="76"/>
      <c r="V256" s="76"/>
      <c r="W256" s="76"/>
      <c r="X256" s="76"/>
      <c r="Y256" s="76"/>
      <c r="Z256" s="76"/>
      <c r="AA256" s="76"/>
      <c r="AB256" s="76"/>
    </row>
    <row r="257" spans="6:28">
      <c r="F257" s="76"/>
      <c r="G257" s="76"/>
      <c r="H257" s="76"/>
      <c r="I257" s="76"/>
      <c r="J257" s="76"/>
      <c r="K257" s="76"/>
      <c r="L257" s="76"/>
      <c r="M257" s="76"/>
      <c r="N257" s="76"/>
      <c r="O257" s="76"/>
      <c r="P257" s="76"/>
      <c r="Q257" s="76"/>
      <c r="R257" s="76"/>
      <c r="S257" s="76"/>
      <c r="T257" s="76"/>
      <c r="U257" s="76"/>
      <c r="V257" s="76"/>
      <c r="W257" s="76"/>
      <c r="X257" s="76"/>
      <c r="Y257" s="76"/>
      <c r="Z257" s="76"/>
      <c r="AA257" s="76"/>
      <c r="AB257" s="76"/>
    </row>
    <row r="258" spans="6:28">
      <c r="F258" s="76"/>
      <c r="G258" s="76"/>
      <c r="H258" s="76"/>
      <c r="I258" s="76"/>
      <c r="J258" s="76"/>
      <c r="K258" s="76"/>
      <c r="L258" s="76"/>
      <c r="M258" s="76"/>
      <c r="N258" s="76"/>
      <c r="O258" s="76"/>
      <c r="P258" s="76"/>
      <c r="Q258" s="76"/>
      <c r="R258" s="76"/>
      <c r="S258" s="76"/>
      <c r="T258" s="76"/>
      <c r="U258" s="76"/>
      <c r="V258" s="76"/>
      <c r="W258" s="76"/>
      <c r="X258" s="76"/>
      <c r="Y258" s="76"/>
      <c r="Z258" s="76"/>
      <c r="AA258" s="76"/>
      <c r="AB258" s="76"/>
    </row>
    <row r="259" spans="6:28">
      <c r="F259" s="76"/>
      <c r="G259" s="76"/>
      <c r="H259" s="76"/>
      <c r="I259" s="76"/>
      <c r="J259" s="76"/>
      <c r="K259" s="76"/>
      <c r="L259" s="76"/>
      <c r="M259" s="76"/>
      <c r="N259" s="76"/>
      <c r="O259" s="76"/>
      <c r="P259" s="76"/>
      <c r="Q259" s="76"/>
      <c r="R259" s="76"/>
      <c r="S259" s="76"/>
      <c r="T259" s="76"/>
      <c r="U259" s="76"/>
      <c r="V259" s="76"/>
      <c r="W259" s="76"/>
      <c r="X259" s="76"/>
      <c r="Y259" s="76"/>
      <c r="Z259" s="76"/>
      <c r="AA259" s="76"/>
      <c r="AB259" s="76"/>
    </row>
    <row r="260" spans="6:28">
      <c r="F260" s="76"/>
      <c r="G260" s="76"/>
      <c r="H260" s="76"/>
      <c r="I260" s="76"/>
      <c r="J260" s="76"/>
      <c r="K260" s="76"/>
      <c r="L260" s="76"/>
      <c r="M260" s="76"/>
      <c r="N260" s="76"/>
      <c r="O260" s="76"/>
      <c r="P260" s="76"/>
      <c r="Q260" s="76"/>
      <c r="R260" s="76"/>
      <c r="S260" s="76"/>
      <c r="T260" s="76"/>
      <c r="U260" s="76"/>
      <c r="V260" s="76"/>
      <c r="W260" s="76"/>
      <c r="X260" s="76"/>
      <c r="Y260" s="76"/>
      <c r="Z260" s="76"/>
      <c r="AA260" s="76"/>
      <c r="AB260" s="76"/>
    </row>
    <row r="261" spans="6:28">
      <c r="F261" s="76"/>
      <c r="G261" s="76"/>
      <c r="H261" s="76"/>
      <c r="I261" s="76"/>
      <c r="J261" s="76"/>
      <c r="K261" s="76"/>
      <c r="L261" s="76"/>
      <c r="M261" s="76"/>
      <c r="N261" s="76"/>
      <c r="O261" s="76"/>
      <c r="P261" s="76"/>
      <c r="Q261" s="76"/>
      <c r="R261" s="76"/>
      <c r="S261" s="76"/>
      <c r="T261" s="76"/>
      <c r="U261" s="76"/>
      <c r="V261" s="76"/>
      <c r="W261" s="76"/>
      <c r="X261" s="76"/>
      <c r="Y261" s="76"/>
      <c r="Z261" s="76"/>
      <c r="AA261" s="76"/>
      <c r="AB261" s="76"/>
    </row>
    <row r="262" spans="6:28">
      <c r="F262" s="76"/>
      <c r="G262" s="76"/>
      <c r="H262" s="76"/>
      <c r="I262" s="76"/>
      <c r="J262" s="76"/>
      <c r="K262" s="76"/>
      <c r="L262" s="76"/>
      <c r="M262" s="76"/>
      <c r="N262" s="76"/>
      <c r="O262" s="76"/>
      <c r="P262" s="76"/>
      <c r="Q262" s="76"/>
      <c r="R262" s="76"/>
      <c r="S262" s="76"/>
      <c r="T262" s="76"/>
      <c r="U262" s="76"/>
      <c r="V262" s="76"/>
      <c r="W262" s="76"/>
      <c r="X262" s="76"/>
      <c r="Y262" s="76"/>
      <c r="Z262" s="76"/>
      <c r="AA262" s="76"/>
      <c r="AB262" s="76"/>
    </row>
    <row r="263" spans="6:28">
      <c r="F263" s="76"/>
      <c r="G263" s="76"/>
      <c r="H263" s="76"/>
      <c r="I263" s="76"/>
      <c r="J263" s="76"/>
      <c r="K263" s="76"/>
      <c r="L263" s="76"/>
      <c r="M263" s="76"/>
      <c r="N263" s="76"/>
      <c r="O263" s="76"/>
      <c r="P263" s="76"/>
      <c r="Q263" s="76"/>
      <c r="R263" s="76"/>
      <c r="S263" s="76"/>
      <c r="T263" s="76"/>
      <c r="U263" s="76"/>
      <c r="V263" s="76"/>
      <c r="W263" s="76"/>
      <c r="X263" s="76"/>
      <c r="Y263" s="76"/>
      <c r="Z263" s="76"/>
      <c r="AA263" s="76"/>
      <c r="AB263" s="76"/>
    </row>
    <row r="264" spans="6:28">
      <c r="F264" s="76"/>
      <c r="G264" s="76"/>
      <c r="H264" s="76"/>
      <c r="I264" s="76"/>
      <c r="J264" s="76"/>
      <c r="K264" s="76"/>
      <c r="L264" s="76"/>
      <c r="M264" s="76"/>
      <c r="N264" s="76"/>
      <c r="O264" s="76"/>
      <c r="P264" s="76"/>
      <c r="Q264" s="76"/>
      <c r="R264" s="76"/>
      <c r="S264" s="76"/>
      <c r="T264" s="76"/>
      <c r="U264" s="76"/>
      <c r="V264" s="76"/>
      <c r="W264" s="76"/>
      <c r="X264" s="76"/>
      <c r="Y264" s="76"/>
      <c r="Z264" s="76"/>
      <c r="AA264" s="76"/>
      <c r="AB264" s="76"/>
    </row>
    <row r="265" spans="6:28">
      <c r="F265" s="76"/>
      <c r="G265" s="76"/>
      <c r="H265" s="76"/>
      <c r="I265" s="76"/>
      <c r="J265" s="76"/>
      <c r="K265" s="76"/>
      <c r="L265" s="76"/>
      <c r="M265" s="76"/>
      <c r="N265" s="76"/>
      <c r="O265" s="76"/>
      <c r="P265" s="76"/>
      <c r="Q265" s="76"/>
      <c r="R265" s="76"/>
      <c r="S265" s="76"/>
      <c r="T265" s="76"/>
      <c r="U265" s="76"/>
      <c r="V265" s="76"/>
      <c r="W265" s="76"/>
      <c r="X265" s="76"/>
      <c r="Y265" s="76"/>
      <c r="Z265" s="76"/>
      <c r="AA265" s="76"/>
      <c r="AB265" s="76"/>
    </row>
    <row r="266" spans="6:28">
      <c r="F266" s="76"/>
      <c r="G266" s="76"/>
      <c r="H266" s="76"/>
      <c r="I266" s="76"/>
      <c r="J266" s="76"/>
      <c r="K266" s="76"/>
      <c r="L266" s="76"/>
      <c r="M266" s="76"/>
      <c r="N266" s="76"/>
      <c r="O266" s="76"/>
      <c r="P266" s="76"/>
      <c r="Q266" s="76"/>
      <c r="R266" s="76"/>
      <c r="S266" s="76"/>
      <c r="T266" s="76"/>
      <c r="U266" s="76"/>
      <c r="V266" s="76"/>
      <c r="W266" s="76"/>
      <c r="X266" s="76"/>
      <c r="Y266" s="76"/>
      <c r="Z266" s="76"/>
      <c r="AA266" s="76"/>
      <c r="AB266" s="76"/>
    </row>
    <row r="267" spans="6:28">
      <c r="F267" s="76"/>
      <c r="G267" s="76"/>
      <c r="H267" s="76"/>
      <c r="I267" s="76"/>
      <c r="J267" s="76"/>
      <c r="K267" s="76"/>
      <c r="L267" s="76"/>
      <c r="M267" s="76"/>
      <c r="N267" s="76"/>
      <c r="O267" s="76"/>
      <c r="P267" s="76"/>
      <c r="Q267" s="76"/>
      <c r="R267" s="76"/>
      <c r="S267" s="76"/>
      <c r="T267" s="76"/>
      <c r="U267" s="76"/>
      <c r="V267" s="76"/>
      <c r="W267" s="76"/>
      <c r="X267" s="76"/>
      <c r="Y267" s="76"/>
      <c r="Z267" s="76"/>
      <c r="AA267" s="76"/>
      <c r="AB267" s="76"/>
    </row>
    <row r="268" spans="6:28">
      <c r="F268" s="76"/>
      <c r="G268" s="76"/>
      <c r="H268" s="76"/>
      <c r="I268" s="76"/>
      <c r="J268" s="76"/>
      <c r="K268" s="76"/>
      <c r="L268" s="76"/>
      <c r="M268" s="76"/>
      <c r="N268" s="76"/>
      <c r="O268" s="76"/>
      <c r="P268" s="76"/>
      <c r="Q268" s="76"/>
      <c r="R268" s="76"/>
      <c r="S268" s="76"/>
      <c r="T268" s="76"/>
      <c r="U268" s="76"/>
      <c r="V268" s="76"/>
      <c r="W268" s="76"/>
      <c r="X268" s="76"/>
      <c r="Y268" s="76"/>
      <c r="Z268" s="76"/>
      <c r="AA268" s="76"/>
      <c r="AB268" s="76"/>
    </row>
    <row r="269" spans="6:28">
      <c r="F269" s="76"/>
      <c r="G269" s="76"/>
      <c r="H269" s="76"/>
      <c r="I269" s="76"/>
      <c r="J269" s="76"/>
      <c r="K269" s="76"/>
      <c r="L269" s="76"/>
      <c r="M269" s="76"/>
      <c r="N269" s="76"/>
      <c r="O269" s="76"/>
      <c r="P269" s="76"/>
      <c r="Q269" s="76"/>
      <c r="R269" s="76"/>
      <c r="S269" s="76"/>
      <c r="T269" s="76"/>
      <c r="U269" s="76"/>
      <c r="V269" s="76"/>
      <c r="W269" s="76"/>
      <c r="X269" s="76"/>
      <c r="Y269" s="76"/>
      <c r="Z269" s="76"/>
      <c r="AA269" s="76"/>
      <c r="AB269" s="76"/>
    </row>
    <row r="270" spans="6:28">
      <c r="F270" s="76"/>
      <c r="G270" s="76"/>
      <c r="H270" s="76"/>
      <c r="I270" s="76"/>
      <c r="J270" s="76"/>
      <c r="K270" s="76"/>
      <c r="L270" s="76"/>
      <c r="M270" s="76"/>
      <c r="N270" s="76"/>
      <c r="O270" s="76"/>
      <c r="P270" s="76"/>
      <c r="Q270" s="76"/>
      <c r="R270" s="76"/>
      <c r="S270" s="76"/>
      <c r="T270" s="76"/>
      <c r="U270" s="76"/>
      <c r="V270" s="76"/>
      <c r="W270" s="76"/>
      <c r="X270" s="76"/>
      <c r="Y270" s="76"/>
      <c r="Z270" s="76"/>
      <c r="AA270" s="76"/>
      <c r="AB270" s="76"/>
    </row>
    <row r="271" spans="6:28">
      <c r="F271" s="76"/>
      <c r="G271" s="76"/>
      <c r="H271" s="76"/>
      <c r="I271" s="76"/>
      <c r="J271" s="76"/>
      <c r="K271" s="76"/>
      <c r="L271" s="76"/>
      <c r="M271" s="76"/>
      <c r="N271" s="76"/>
      <c r="O271" s="76"/>
      <c r="P271" s="76"/>
      <c r="Q271" s="76"/>
      <c r="R271" s="76"/>
      <c r="S271" s="76"/>
      <c r="T271" s="76"/>
      <c r="U271" s="76"/>
      <c r="V271" s="76"/>
      <c r="W271" s="76"/>
      <c r="X271" s="76"/>
      <c r="Y271" s="76"/>
      <c r="Z271" s="76"/>
      <c r="AA271" s="76"/>
      <c r="AB271" s="76"/>
    </row>
    <row r="272" spans="6:28">
      <c r="F272" s="76"/>
      <c r="G272" s="76"/>
      <c r="H272" s="76"/>
      <c r="I272" s="76"/>
      <c r="J272" s="76"/>
      <c r="K272" s="76"/>
      <c r="L272" s="76"/>
      <c r="M272" s="76"/>
      <c r="N272" s="76"/>
      <c r="O272" s="76"/>
      <c r="P272" s="76"/>
      <c r="Q272" s="76"/>
      <c r="R272" s="76"/>
      <c r="S272" s="76"/>
      <c r="T272" s="76"/>
      <c r="U272" s="76"/>
      <c r="V272" s="76"/>
      <c r="W272" s="76"/>
      <c r="X272" s="76"/>
      <c r="Y272" s="76"/>
      <c r="Z272" s="76"/>
      <c r="AA272" s="76"/>
      <c r="AB272" s="76"/>
    </row>
    <row r="273" spans="6:28">
      <c r="F273" s="76"/>
      <c r="G273" s="76"/>
      <c r="H273" s="76"/>
      <c r="I273" s="76"/>
      <c r="J273" s="76"/>
      <c r="K273" s="76"/>
      <c r="L273" s="76"/>
      <c r="M273" s="76"/>
      <c r="N273" s="76"/>
      <c r="O273" s="76"/>
      <c r="P273" s="76"/>
      <c r="Q273" s="76"/>
      <c r="R273" s="76"/>
      <c r="S273" s="76"/>
      <c r="T273" s="76"/>
      <c r="U273" s="76"/>
      <c r="V273" s="76"/>
      <c r="W273" s="76"/>
      <c r="X273" s="76"/>
      <c r="Y273" s="76"/>
      <c r="Z273" s="76"/>
      <c r="AA273" s="76"/>
      <c r="AB273" s="76"/>
    </row>
    <row r="274" spans="6:28">
      <c r="F274" s="76"/>
      <c r="G274" s="76"/>
      <c r="H274" s="76"/>
      <c r="I274" s="76"/>
      <c r="J274" s="76"/>
      <c r="K274" s="76"/>
      <c r="L274" s="76"/>
      <c r="M274" s="76"/>
      <c r="N274" s="76"/>
      <c r="O274" s="76"/>
      <c r="P274" s="76"/>
      <c r="Q274" s="76"/>
      <c r="R274" s="76"/>
      <c r="S274" s="76"/>
      <c r="T274" s="76"/>
      <c r="U274" s="76"/>
      <c r="V274" s="76"/>
      <c r="W274" s="76"/>
      <c r="X274" s="76"/>
      <c r="Y274" s="76"/>
      <c r="Z274" s="76"/>
      <c r="AA274" s="76"/>
      <c r="AB274" s="76"/>
    </row>
    <row r="275" spans="6:28">
      <c r="F275" s="76"/>
      <c r="G275" s="76"/>
      <c r="H275" s="76"/>
      <c r="I275" s="76"/>
      <c r="J275" s="76"/>
      <c r="K275" s="76"/>
      <c r="L275" s="76"/>
      <c r="M275" s="76"/>
      <c r="N275" s="76"/>
      <c r="O275" s="76"/>
      <c r="P275" s="76"/>
      <c r="Q275" s="76"/>
      <c r="R275" s="76"/>
      <c r="S275" s="76"/>
      <c r="T275" s="76"/>
      <c r="U275" s="76"/>
      <c r="V275" s="76"/>
      <c r="W275" s="76"/>
      <c r="X275" s="76"/>
      <c r="Y275" s="76"/>
      <c r="Z275" s="76"/>
      <c r="AA275" s="76"/>
      <c r="AB275" s="76"/>
    </row>
    <row r="276" spans="6:28">
      <c r="F276" s="76"/>
      <c r="G276" s="76"/>
      <c r="H276" s="76"/>
      <c r="I276" s="76"/>
      <c r="J276" s="76"/>
      <c r="K276" s="76"/>
      <c r="L276" s="76"/>
      <c r="M276" s="76"/>
      <c r="N276" s="76"/>
      <c r="O276" s="76"/>
      <c r="P276" s="76"/>
      <c r="Q276" s="76"/>
      <c r="R276" s="76"/>
      <c r="S276" s="76"/>
      <c r="T276" s="76"/>
      <c r="U276" s="76"/>
      <c r="V276" s="76"/>
      <c r="W276" s="76"/>
      <c r="X276" s="76"/>
      <c r="Y276" s="76"/>
      <c r="Z276" s="76"/>
      <c r="AA276" s="76"/>
      <c r="AB276" s="76"/>
    </row>
    <row r="277" spans="6:28">
      <c r="F277" s="76"/>
      <c r="G277" s="76"/>
      <c r="H277" s="76"/>
      <c r="I277" s="76"/>
      <c r="J277" s="76"/>
      <c r="K277" s="76"/>
      <c r="L277" s="76"/>
      <c r="M277" s="76"/>
      <c r="N277" s="76"/>
      <c r="O277" s="76"/>
      <c r="P277" s="76"/>
      <c r="Q277" s="76"/>
      <c r="R277" s="76"/>
      <c r="S277" s="76"/>
      <c r="T277" s="76"/>
      <c r="U277" s="76"/>
      <c r="V277" s="76"/>
      <c r="W277" s="76"/>
      <c r="X277" s="76"/>
      <c r="Y277" s="76"/>
      <c r="Z277" s="76"/>
      <c r="AA277" s="76"/>
      <c r="AB277" s="76"/>
    </row>
    <row r="278" spans="6:28">
      <c r="F278" s="76"/>
      <c r="G278" s="76"/>
      <c r="H278" s="76"/>
      <c r="I278" s="76"/>
      <c r="J278" s="76"/>
      <c r="K278" s="76"/>
      <c r="L278" s="76"/>
      <c r="M278" s="76"/>
      <c r="N278" s="76"/>
      <c r="O278" s="76"/>
      <c r="P278" s="76"/>
      <c r="Q278" s="76"/>
      <c r="R278" s="76"/>
      <c r="S278" s="76"/>
      <c r="T278" s="76"/>
      <c r="U278" s="76"/>
      <c r="V278" s="76"/>
      <c r="W278" s="76"/>
      <c r="X278" s="76"/>
      <c r="Y278" s="76"/>
      <c r="Z278" s="76"/>
      <c r="AA278" s="76"/>
      <c r="AB278" s="76"/>
    </row>
    <row r="279" spans="6:28">
      <c r="F279" s="76"/>
      <c r="G279" s="76"/>
      <c r="H279" s="76"/>
      <c r="I279" s="76"/>
      <c r="J279" s="76"/>
      <c r="K279" s="76"/>
      <c r="L279" s="76"/>
      <c r="M279" s="76"/>
      <c r="N279" s="76"/>
      <c r="O279" s="76"/>
      <c r="P279" s="76"/>
      <c r="Q279" s="76"/>
      <c r="R279" s="76"/>
      <c r="S279" s="76"/>
      <c r="T279" s="76"/>
      <c r="U279" s="76"/>
      <c r="V279" s="76"/>
      <c r="W279" s="76"/>
      <c r="X279" s="76"/>
      <c r="Y279" s="76"/>
      <c r="Z279" s="76"/>
      <c r="AA279" s="76"/>
      <c r="AB279" s="76"/>
    </row>
    <row r="280" spans="6:28">
      <c r="F280" s="76"/>
      <c r="G280" s="76"/>
      <c r="H280" s="76"/>
      <c r="I280" s="76"/>
      <c r="J280" s="76"/>
      <c r="K280" s="76"/>
      <c r="L280" s="76"/>
      <c r="M280" s="76"/>
      <c r="N280" s="76"/>
      <c r="O280" s="76"/>
      <c r="P280" s="76"/>
      <c r="Q280" s="76"/>
      <c r="R280" s="76"/>
      <c r="S280" s="76"/>
      <c r="T280" s="76"/>
      <c r="U280" s="76"/>
      <c r="V280" s="76"/>
      <c r="W280" s="76"/>
      <c r="X280" s="76"/>
      <c r="Y280" s="76"/>
      <c r="Z280" s="76"/>
      <c r="AA280" s="76"/>
      <c r="AB280" s="76"/>
    </row>
    <row r="281" spans="6:28">
      <c r="F281" s="76"/>
      <c r="G281" s="76"/>
      <c r="H281" s="76"/>
      <c r="I281" s="76"/>
      <c r="J281" s="76"/>
      <c r="K281" s="76"/>
      <c r="L281" s="76"/>
      <c r="M281" s="76"/>
      <c r="N281" s="76"/>
      <c r="O281" s="76"/>
      <c r="P281" s="76"/>
      <c r="Q281" s="76"/>
      <c r="R281" s="76"/>
      <c r="S281" s="76"/>
      <c r="T281" s="76"/>
      <c r="U281" s="76"/>
      <c r="V281" s="76"/>
      <c r="W281" s="76"/>
      <c r="X281" s="76"/>
      <c r="Y281" s="76"/>
      <c r="Z281" s="76"/>
      <c r="AA281" s="76"/>
      <c r="AB281" s="76"/>
    </row>
    <row r="282" spans="6:28">
      <c r="F282" s="76"/>
      <c r="G282" s="76"/>
      <c r="H282" s="76"/>
      <c r="I282" s="76"/>
      <c r="J282" s="76"/>
      <c r="K282" s="76"/>
      <c r="L282" s="76"/>
      <c r="M282" s="76"/>
      <c r="N282" s="76"/>
      <c r="O282" s="76"/>
      <c r="P282" s="76"/>
      <c r="Q282" s="76"/>
      <c r="R282" s="76"/>
      <c r="S282" s="76"/>
      <c r="T282" s="76"/>
      <c r="U282" s="76"/>
      <c r="V282" s="76"/>
      <c r="W282" s="76"/>
      <c r="X282" s="76"/>
      <c r="Y282" s="76"/>
      <c r="Z282" s="76"/>
      <c r="AA282" s="76"/>
      <c r="AB282" s="76"/>
    </row>
    <row r="283" spans="6:28">
      <c r="F283" s="76"/>
      <c r="G283" s="76"/>
      <c r="H283" s="76"/>
      <c r="I283" s="76"/>
      <c r="J283" s="76"/>
      <c r="K283" s="76"/>
      <c r="L283" s="76"/>
      <c r="M283" s="76"/>
      <c r="N283" s="76"/>
      <c r="O283" s="76"/>
      <c r="P283" s="76"/>
      <c r="Q283" s="76"/>
      <c r="R283" s="76"/>
      <c r="S283" s="76"/>
      <c r="T283" s="76"/>
      <c r="U283" s="76"/>
      <c r="V283" s="76"/>
      <c r="W283" s="76"/>
      <c r="X283" s="76"/>
      <c r="Y283" s="76"/>
      <c r="Z283" s="76"/>
      <c r="AA283" s="76"/>
      <c r="AB283" s="76"/>
    </row>
    <row r="284" spans="6:28">
      <c r="F284" s="76"/>
      <c r="G284" s="76"/>
      <c r="H284" s="76"/>
      <c r="I284" s="76"/>
      <c r="J284" s="76"/>
      <c r="K284" s="76"/>
      <c r="L284" s="76"/>
      <c r="M284" s="76"/>
      <c r="N284" s="76"/>
      <c r="O284" s="76"/>
      <c r="P284" s="76"/>
      <c r="Q284" s="76"/>
      <c r="R284" s="76"/>
      <c r="S284" s="76"/>
      <c r="T284" s="76"/>
      <c r="U284" s="76"/>
      <c r="V284" s="76"/>
      <c r="W284" s="76"/>
      <c r="X284" s="76"/>
      <c r="Y284" s="76"/>
      <c r="Z284" s="76"/>
      <c r="AA284" s="76"/>
      <c r="AB284" s="76"/>
    </row>
    <row r="285" spans="6:28">
      <c r="F285" s="76"/>
      <c r="G285" s="76"/>
      <c r="H285" s="76"/>
      <c r="I285" s="76"/>
      <c r="J285" s="76"/>
      <c r="K285" s="76"/>
      <c r="L285" s="76"/>
      <c r="M285" s="76"/>
      <c r="N285" s="76"/>
      <c r="O285" s="76"/>
      <c r="P285" s="76"/>
      <c r="Q285" s="76"/>
      <c r="R285" s="76"/>
      <c r="S285" s="76"/>
      <c r="T285" s="76"/>
      <c r="U285" s="76"/>
      <c r="V285" s="76"/>
      <c r="W285" s="76"/>
      <c r="X285" s="76"/>
      <c r="Y285" s="76"/>
      <c r="Z285" s="76"/>
      <c r="AA285" s="76"/>
      <c r="AB285" s="76"/>
    </row>
    <row r="286" spans="6:28">
      <c r="F286" s="76"/>
      <c r="G286" s="76"/>
      <c r="H286" s="76"/>
      <c r="I286" s="76"/>
      <c r="J286" s="76"/>
      <c r="K286" s="76"/>
      <c r="L286" s="76"/>
      <c r="M286" s="76"/>
      <c r="N286" s="76"/>
      <c r="O286" s="76"/>
      <c r="P286" s="76"/>
      <c r="Q286" s="76"/>
      <c r="R286" s="76"/>
      <c r="S286" s="76"/>
      <c r="T286" s="76"/>
      <c r="U286" s="76"/>
      <c r="V286" s="76"/>
      <c r="W286" s="76"/>
      <c r="X286" s="76"/>
      <c r="Y286" s="76"/>
      <c r="Z286" s="76"/>
      <c r="AA286" s="76"/>
      <c r="AB286" s="76"/>
    </row>
    <row r="287" spans="6:28">
      <c r="F287" s="76"/>
      <c r="G287" s="76"/>
      <c r="H287" s="76"/>
      <c r="I287" s="76"/>
      <c r="J287" s="76"/>
      <c r="K287" s="76"/>
      <c r="L287" s="76"/>
      <c r="M287" s="76"/>
      <c r="N287" s="76"/>
      <c r="O287" s="76"/>
      <c r="P287" s="76"/>
      <c r="Q287" s="76"/>
      <c r="R287" s="76"/>
      <c r="S287" s="76"/>
      <c r="T287" s="76"/>
      <c r="U287" s="76"/>
      <c r="V287" s="76"/>
      <c r="W287" s="76"/>
      <c r="X287" s="76"/>
      <c r="Y287" s="76"/>
      <c r="Z287" s="76"/>
      <c r="AA287" s="76"/>
      <c r="AB287" s="76"/>
    </row>
    <row r="288" spans="6:28">
      <c r="F288" s="76"/>
      <c r="G288" s="76"/>
      <c r="H288" s="76"/>
      <c r="I288" s="76"/>
      <c r="J288" s="76"/>
      <c r="K288" s="76"/>
      <c r="L288" s="76"/>
      <c r="M288" s="76"/>
      <c r="N288" s="76"/>
      <c r="O288" s="76"/>
      <c r="P288" s="76"/>
      <c r="Q288" s="76"/>
      <c r="R288" s="76"/>
      <c r="S288" s="76"/>
      <c r="T288" s="76"/>
      <c r="U288" s="76"/>
      <c r="V288" s="76"/>
      <c r="W288" s="76"/>
      <c r="X288" s="76"/>
      <c r="Y288" s="76"/>
      <c r="Z288" s="76"/>
      <c r="AA288" s="76"/>
      <c r="AB288" s="76"/>
    </row>
    <row r="289" spans="6:28">
      <c r="F289" s="76"/>
      <c r="G289" s="76"/>
      <c r="H289" s="76"/>
      <c r="I289" s="76"/>
      <c r="J289" s="76"/>
      <c r="K289" s="76"/>
      <c r="L289" s="76"/>
      <c r="M289" s="76"/>
      <c r="N289" s="76"/>
      <c r="O289" s="76"/>
      <c r="P289" s="76"/>
      <c r="Q289" s="76"/>
      <c r="R289" s="76"/>
      <c r="S289" s="76"/>
      <c r="T289" s="76"/>
      <c r="U289" s="76"/>
      <c r="V289" s="76"/>
      <c r="W289" s="76"/>
      <c r="X289" s="76"/>
      <c r="Y289" s="76"/>
      <c r="Z289" s="76"/>
      <c r="AA289" s="76"/>
      <c r="AB289" s="76"/>
    </row>
    <row r="290" spans="6:28">
      <c r="F290" s="76"/>
      <c r="G290" s="76"/>
      <c r="H290" s="76"/>
      <c r="I290" s="76"/>
      <c r="J290" s="76"/>
      <c r="K290" s="76"/>
      <c r="L290" s="76"/>
      <c r="M290" s="76"/>
      <c r="N290" s="76"/>
      <c r="O290" s="76"/>
      <c r="P290" s="76"/>
      <c r="Q290" s="76"/>
      <c r="R290" s="76"/>
      <c r="S290" s="76"/>
      <c r="T290" s="76"/>
      <c r="U290" s="76"/>
      <c r="V290" s="76"/>
      <c r="W290" s="76"/>
      <c r="X290" s="76"/>
      <c r="Y290" s="76"/>
      <c r="Z290" s="76"/>
      <c r="AA290" s="76"/>
      <c r="AB290" s="76"/>
    </row>
    <row r="291" spans="6:28">
      <c r="F291" s="76"/>
      <c r="G291" s="76"/>
      <c r="H291" s="76"/>
      <c r="I291" s="76"/>
      <c r="J291" s="76"/>
      <c r="K291" s="76"/>
      <c r="L291" s="76"/>
      <c r="M291" s="76"/>
      <c r="N291" s="76"/>
      <c r="O291" s="76"/>
      <c r="P291" s="76"/>
      <c r="Q291" s="76"/>
      <c r="R291" s="76"/>
      <c r="S291" s="76"/>
      <c r="T291" s="76"/>
      <c r="U291" s="76"/>
      <c r="V291" s="76"/>
      <c r="W291" s="76"/>
      <c r="X291" s="76"/>
      <c r="Y291" s="76"/>
      <c r="Z291" s="76"/>
      <c r="AA291" s="76"/>
      <c r="AB291" s="76"/>
    </row>
    <row r="292" spans="6:28">
      <c r="F292" s="76"/>
      <c r="G292" s="76"/>
      <c r="H292" s="76"/>
      <c r="I292" s="76"/>
      <c r="J292" s="76"/>
      <c r="K292" s="76"/>
      <c r="L292" s="76"/>
      <c r="M292" s="76"/>
      <c r="N292" s="76"/>
      <c r="O292" s="76"/>
      <c r="P292" s="76"/>
      <c r="Q292" s="76"/>
      <c r="R292" s="76"/>
      <c r="S292" s="76"/>
      <c r="T292" s="76"/>
      <c r="U292" s="76"/>
      <c r="V292" s="76"/>
      <c r="W292" s="76"/>
      <c r="X292" s="76"/>
      <c r="Y292" s="76"/>
      <c r="Z292" s="76"/>
      <c r="AA292" s="76"/>
      <c r="AB292" s="76"/>
    </row>
    <row r="293" spans="6:28">
      <c r="F293" s="76"/>
      <c r="G293" s="76"/>
      <c r="H293" s="76"/>
      <c r="I293" s="76"/>
      <c r="J293" s="76"/>
      <c r="K293" s="76"/>
      <c r="L293" s="76"/>
      <c r="M293" s="76"/>
      <c r="N293" s="76"/>
      <c r="O293" s="76"/>
      <c r="P293" s="76"/>
      <c r="Q293" s="76"/>
      <c r="R293" s="76"/>
      <c r="S293" s="76"/>
      <c r="T293" s="76"/>
      <c r="U293" s="76"/>
      <c r="V293" s="76"/>
      <c r="W293" s="76"/>
      <c r="X293" s="76"/>
      <c r="Y293" s="76"/>
      <c r="Z293" s="76"/>
      <c r="AA293" s="76"/>
      <c r="AB293" s="76"/>
    </row>
    <row r="294" spans="6:28">
      <c r="F294" s="76"/>
      <c r="G294" s="76"/>
      <c r="H294" s="76"/>
      <c r="I294" s="76"/>
      <c r="J294" s="76"/>
      <c r="K294" s="76"/>
      <c r="L294" s="76"/>
      <c r="M294" s="76"/>
      <c r="N294" s="76"/>
      <c r="O294" s="76"/>
      <c r="P294" s="76"/>
      <c r="Q294" s="76"/>
      <c r="R294" s="76"/>
      <c r="S294" s="76"/>
      <c r="T294" s="76"/>
      <c r="U294" s="76"/>
      <c r="V294" s="76"/>
      <c r="W294" s="76"/>
      <c r="X294" s="76"/>
      <c r="Y294" s="76"/>
      <c r="Z294" s="76"/>
      <c r="AA294" s="76"/>
      <c r="AB294" s="76"/>
    </row>
    <row r="295" spans="6:28">
      <c r="F295" s="76"/>
      <c r="G295" s="76"/>
      <c r="H295" s="76"/>
      <c r="I295" s="76"/>
      <c r="J295" s="76"/>
      <c r="K295" s="76"/>
      <c r="L295" s="76"/>
      <c r="M295" s="76"/>
      <c r="N295" s="76"/>
      <c r="O295" s="76"/>
      <c r="P295" s="76"/>
      <c r="Q295" s="76"/>
      <c r="R295" s="76"/>
      <c r="S295" s="76"/>
      <c r="T295" s="76"/>
      <c r="U295" s="76"/>
      <c r="V295" s="76"/>
      <c r="W295" s="76"/>
      <c r="X295" s="76"/>
      <c r="Y295" s="76"/>
      <c r="Z295" s="76"/>
      <c r="AA295" s="76"/>
      <c r="AB295" s="76"/>
    </row>
    <row r="296" spans="6:28">
      <c r="F296" s="76"/>
      <c r="G296" s="76"/>
      <c r="H296" s="76"/>
      <c r="I296" s="76"/>
      <c r="J296" s="76"/>
      <c r="K296" s="76"/>
      <c r="L296" s="76"/>
      <c r="M296" s="76"/>
      <c r="N296" s="76"/>
      <c r="O296" s="76"/>
      <c r="P296" s="76"/>
      <c r="Q296" s="76"/>
      <c r="R296" s="76"/>
      <c r="S296" s="76"/>
      <c r="T296" s="76"/>
      <c r="U296" s="76"/>
      <c r="V296" s="76"/>
      <c r="W296" s="76"/>
      <c r="X296" s="76"/>
      <c r="Y296" s="76"/>
      <c r="Z296" s="76"/>
      <c r="AA296" s="76"/>
      <c r="AB296" s="76"/>
    </row>
    <row r="297" spans="6:28">
      <c r="F297" s="76"/>
      <c r="G297" s="76"/>
      <c r="H297" s="76"/>
      <c r="I297" s="76"/>
      <c r="J297" s="76"/>
      <c r="K297" s="76"/>
      <c r="L297" s="76"/>
      <c r="M297" s="76"/>
      <c r="N297" s="76"/>
      <c r="O297" s="76"/>
      <c r="P297" s="76"/>
      <c r="Q297" s="76"/>
      <c r="R297" s="76"/>
      <c r="S297" s="76"/>
      <c r="T297" s="76"/>
      <c r="U297" s="76"/>
      <c r="V297" s="76"/>
      <c r="W297" s="76"/>
      <c r="X297" s="76"/>
      <c r="Y297" s="76"/>
      <c r="Z297" s="76"/>
      <c r="AA297" s="76"/>
      <c r="AB297" s="76"/>
    </row>
    <row r="298" spans="6:28">
      <c r="F298" s="76"/>
      <c r="G298" s="76"/>
      <c r="H298" s="76"/>
      <c r="I298" s="76"/>
      <c r="J298" s="76"/>
      <c r="K298" s="76"/>
      <c r="L298" s="76"/>
      <c r="M298" s="76"/>
      <c r="N298" s="76"/>
      <c r="O298" s="76"/>
      <c r="P298" s="76"/>
      <c r="Q298" s="76"/>
      <c r="R298" s="76"/>
      <c r="S298" s="76"/>
      <c r="T298" s="76"/>
      <c r="U298" s="76"/>
      <c r="V298" s="76"/>
      <c r="W298" s="76"/>
      <c r="X298" s="76"/>
      <c r="Y298" s="76"/>
      <c r="Z298" s="76"/>
      <c r="AA298" s="76"/>
      <c r="AB298" s="76"/>
    </row>
    <row r="299" spans="6:28">
      <c r="F299" s="76"/>
      <c r="G299" s="76"/>
      <c r="H299" s="76"/>
      <c r="I299" s="76"/>
      <c r="J299" s="76"/>
      <c r="K299" s="76"/>
      <c r="L299" s="76"/>
      <c r="M299" s="76"/>
      <c r="N299" s="76"/>
      <c r="O299" s="76"/>
      <c r="P299" s="76"/>
      <c r="Q299" s="76"/>
      <c r="R299" s="76"/>
      <c r="S299" s="76"/>
      <c r="T299" s="76"/>
      <c r="U299" s="76"/>
      <c r="V299" s="76"/>
      <c r="W299" s="76"/>
      <c r="X299" s="76"/>
      <c r="Y299" s="76"/>
      <c r="Z299" s="76"/>
      <c r="AA299" s="76"/>
      <c r="AB299" s="76"/>
    </row>
    <row r="300" spans="6:28">
      <c r="F300" s="76"/>
      <c r="G300" s="76"/>
      <c r="H300" s="76"/>
      <c r="I300" s="76"/>
      <c r="J300" s="76"/>
      <c r="K300" s="76"/>
      <c r="L300" s="76"/>
      <c r="M300" s="76"/>
      <c r="N300" s="76"/>
      <c r="O300" s="76"/>
      <c r="P300" s="76"/>
      <c r="Q300" s="76"/>
      <c r="R300" s="76"/>
      <c r="S300" s="76"/>
      <c r="T300" s="76"/>
      <c r="U300" s="76"/>
      <c r="V300" s="76"/>
      <c r="W300" s="76"/>
      <c r="X300" s="76"/>
      <c r="Y300" s="76"/>
      <c r="Z300" s="76"/>
      <c r="AA300" s="76"/>
      <c r="AB300" s="76"/>
    </row>
    <row r="301" spans="6:28">
      <c r="F301" s="76"/>
      <c r="G301" s="76"/>
      <c r="H301" s="76"/>
      <c r="I301" s="76"/>
      <c r="J301" s="76"/>
      <c r="K301" s="76"/>
      <c r="L301" s="76"/>
      <c r="M301" s="76"/>
      <c r="N301" s="76"/>
      <c r="O301" s="76"/>
      <c r="P301" s="76"/>
      <c r="Q301" s="76"/>
      <c r="R301" s="76"/>
      <c r="S301" s="76"/>
      <c r="T301" s="76"/>
      <c r="U301" s="76"/>
      <c r="V301" s="76"/>
      <c r="W301" s="76"/>
      <c r="X301" s="76"/>
      <c r="Y301" s="76"/>
      <c r="Z301" s="76"/>
      <c r="AA301" s="76"/>
      <c r="AB301" s="76"/>
    </row>
    <row r="302" spans="6:28">
      <c r="F302" s="76"/>
      <c r="G302" s="76"/>
      <c r="H302" s="76"/>
      <c r="I302" s="76"/>
      <c r="J302" s="76"/>
      <c r="K302" s="76"/>
      <c r="L302" s="76"/>
      <c r="M302" s="76"/>
      <c r="N302" s="76"/>
      <c r="O302" s="76"/>
      <c r="P302" s="76"/>
      <c r="Q302" s="76"/>
      <c r="R302" s="76"/>
      <c r="S302" s="76"/>
      <c r="T302" s="76"/>
      <c r="U302" s="76"/>
      <c r="V302" s="76"/>
      <c r="W302" s="76"/>
      <c r="X302" s="76"/>
      <c r="Y302" s="76"/>
      <c r="Z302" s="76"/>
      <c r="AA302" s="76"/>
      <c r="AB302" s="76"/>
    </row>
    <row r="303" spans="6:28">
      <c r="F303" s="76"/>
      <c r="G303" s="76"/>
      <c r="H303" s="76"/>
      <c r="I303" s="76"/>
      <c r="J303" s="76"/>
      <c r="K303" s="76"/>
      <c r="L303" s="76"/>
      <c r="M303" s="76"/>
      <c r="N303" s="76"/>
      <c r="O303" s="76"/>
      <c r="P303" s="76"/>
      <c r="Q303" s="76"/>
      <c r="R303" s="76"/>
      <c r="S303" s="76"/>
      <c r="T303" s="76"/>
      <c r="U303" s="76"/>
      <c r="V303" s="76"/>
      <c r="W303" s="76"/>
      <c r="X303" s="76"/>
      <c r="Y303" s="76"/>
      <c r="Z303" s="76"/>
      <c r="AA303" s="76"/>
      <c r="AB303" s="76"/>
    </row>
    <row r="304" spans="6:28">
      <c r="F304" s="76"/>
      <c r="G304" s="76"/>
      <c r="H304" s="76"/>
      <c r="I304" s="76"/>
      <c r="J304" s="76"/>
      <c r="K304" s="76"/>
      <c r="L304" s="76"/>
      <c r="M304" s="76"/>
      <c r="N304" s="76"/>
      <c r="O304" s="76"/>
      <c r="P304" s="76"/>
      <c r="Q304" s="76"/>
      <c r="R304" s="76"/>
      <c r="S304" s="76"/>
      <c r="T304" s="76"/>
      <c r="U304" s="76"/>
      <c r="V304" s="76"/>
      <c r="W304" s="76"/>
      <c r="X304" s="76"/>
      <c r="Y304" s="76"/>
      <c r="Z304" s="76"/>
      <c r="AA304" s="76"/>
      <c r="AB304" s="76"/>
    </row>
    <row r="305" spans="6:28">
      <c r="F305" s="76"/>
      <c r="G305" s="76"/>
      <c r="H305" s="76"/>
      <c r="I305" s="76"/>
      <c r="J305" s="76"/>
      <c r="K305" s="76"/>
      <c r="L305" s="76"/>
      <c r="M305" s="76"/>
      <c r="N305" s="76"/>
      <c r="O305" s="76"/>
      <c r="P305" s="76"/>
      <c r="Q305" s="76"/>
      <c r="R305" s="76"/>
      <c r="S305" s="76"/>
      <c r="T305" s="76"/>
      <c r="U305" s="76"/>
      <c r="V305" s="76"/>
      <c r="W305" s="76"/>
      <c r="X305" s="76"/>
      <c r="Y305" s="76"/>
      <c r="Z305" s="76"/>
      <c r="AA305" s="76"/>
      <c r="AB305" s="76"/>
    </row>
    <row r="306" spans="6:28">
      <c r="F306" s="76"/>
      <c r="G306" s="76"/>
      <c r="H306" s="76"/>
      <c r="I306" s="76"/>
      <c r="J306" s="76"/>
      <c r="K306" s="76"/>
      <c r="L306" s="76"/>
      <c r="M306" s="76"/>
      <c r="N306" s="76"/>
      <c r="O306" s="76"/>
      <c r="P306" s="76"/>
      <c r="Q306" s="76"/>
      <c r="R306" s="76"/>
      <c r="S306" s="76"/>
      <c r="T306" s="76"/>
      <c r="U306" s="76"/>
      <c r="V306" s="76"/>
      <c r="W306" s="76"/>
      <c r="X306" s="76"/>
      <c r="Y306" s="76"/>
      <c r="Z306" s="76"/>
      <c r="AA306" s="76"/>
      <c r="AB306" s="76"/>
    </row>
    <row r="307" spans="6:28">
      <c r="F307" s="76"/>
      <c r="G307" s="76"/>
      <c r="H307" s="76"/>
      <c r="I307" s="76"/>
      <c r="J307" s="76"/>
      <c r="K307" s="76"/>
      <c r="L307" s="76"/>
      <c r="M307" s="76"/>
      <c r="N307" s="76"/>
      <c r="O307" s="76"/>
      <c r="P307" s="76"/>
      <c r="Q307" s="76"/>
      <c r="R307" s="76"/>
      <c r="S307" s="76"/>
      <c r="T307" s="76"/>
      <c r="U307" s="76"/>
      <c r="V307" s="76"/>
      <c r="W307" s="76"/>
      <c r="X307" s="76"/>
      <c r="Y307" s="76"/>
      <c r="Z307" s="76"/>
      <c r="AA307" s="76"/>
      <c r="AB307" s="76"/>
    </row>
    <row r="308" spans="6:28">
      <c r="F308" s="76"/>
      <c r="G308" s="76"/>
      <c r="H308" s="76"/>
      <c r="I308" s="76"/>
      <c r="J308" s="76"/>
      <c r="K308" s="76"/>
      <c r="L308" s="76"/>
      <c r="M308" s="76"/>
      <c r="N308" s="76"/>
      <c r="O308" s="76"/>
      <c r="P308" s="76"/>
      <c r="Q308" s="76"/>
      <c r="R308" s="76"/>
      <c r="S308" s="76"/>
      <c r="T308" s="76"/>
      <c r="U308" s="76"/>
      <c r="V308" s="76"/>
      <c r="W308" s="76"/>
      <c r="X308" s="76"/>
      <c r="Y308" s="76"/>
      <c r="Z308" s="76"/>
      <c r="AA308" s="76"/>
      <c r="AB308" s="76"/>
    </row>
    <row r="309" spans="6:28">
      <c r="F309" s="76"/>
      <c r="G309" s="76"/>
      <c r="H309" s="76"/>
      <c r="I309" s="76"/>
      <c r="J309" s="76"/>
      <c r="K309" s="76"/>
      <c r="L309" s="76"/>
      <c r="M309" s="76"/>
      <c r="N309" s="76"/>
      <c r="O309" s="76"/>
      <c r="P309" s="76"/>
      <c r="Q309" s="76"/>
      <c r="R309" s="76"/>
      <c r="S309" s="76"/>
      <c r="T309" s="76"/>
      <c r="U309" s="76"/>
      <c r="V309" s="76"/>
      <c r="W309" s="76"/>
      <c r="X309" s="76"/>
      <c r="Y309" s="76"/>
      <c r="Z309" s="76"/>
      <c r="AA309" s="76"/>
      <c r="AB309" s="76"/>
    </row>
    <row r="310" spans="6:28">
      <c r="F310" s="76"/>
      <c r="G310" s="76"/>
      <c r="H310" s="76"/>
      <c r="I310" s="76"/>
      <c r="J310" s="76"/>
      <c r="K310" s="76"/>
      <c r="L310" s="76"/>
      <c r="M310" s="76"/>
      <c r="N310" s="76"/>
      <c r="O310" s="76"/>
      <c r="P310" s="76"/>
      <c r="Q310" s="76"/>
      <c r="R310" s="76"/>
      <c r="S310" s="76"/>
      <c r="T310" s="76"/>
      <c r="U310" s="76"/>
      <c r="V310" s="76"/>
      <c r="W310" s="76"/>
      <c r="X310" s="76"/>
      <c r="Y310" s="76"/>
      <c r="Z310" s="76"/>
      <c r="AA310" s="76"/>
      <c r="AB310" s="76"/>
    </row>
    <row r="311" spans="6:28">
      <c r="F311" s="76"/>
      <c r="G311" s="76"/>
      <c r="H311" s="76"/>
      <c r="I311" s="76"/>
      <c r="J311" s="76"/>
      <c r="K311" s="76"/>
      <c r="L311" s="76"/>
      <c r="M311" s="76"/>
      <c r="N311" s="76"/>
      <c r="O311" s="76"/>
      <c r="P311" s="76"/>
      <c r="Q311" s="76"/>
      <c r="R311" s="76"/>
      <c r="S311" s="76"/>
      <c r="T311" s="76"/>
      <c r="U311" s="76"/>
      <c r="V311" s="76"/>
      <c r="W311" s="76"/>
      <c r="X311" s="76"/>
      <c r="Y311" s="76"/>
      <c r="Z311" s="76"/>
      <c r="AA311" s="76"/>
      <c r="AB311" s="76"/>
    </row>
    <row r="312" spans="6:28">
      <c r="F312" s="76"/>
      <c r="G312" s="76"/>
      <c r="H312" s="76"/>
      <c r="I312" s="76"/>
      <c r="J312" s="76"/>
      <c r="K312" s="76"/>
      <c r="L312" s="76"/>
      <c r="M312" s="76"/>
      <c r="N312" s="76"/>
      <c r="O312" s="76"/>
      <c r="P312" s="76"/>
      <c r="Q312" s="76"/>
      <c r="R312" s="76"/>
      <c r="S312" s="76"/>
      <c r="T312" s="76"/>
      <c r="U312" s="76"/>
      <c r="V312" s="76"/>
      <c r="W312" s="76"/>
      <c r="X312" s="76"/>
      <c r="Y312" s="76"/>
      <c r="Z312" s="76"/>
      <c r="AA312" s="76"/>
      <c r="AB312" s="76"/>
    </row>
    <row r="313" spans="6:28">
      <c r="F313" s="76"/>
      <c r="G313" s="76"/>
      <c r="H313" s="76"/>
      <c r="I313" s="76"/>
      <c r="J313" s="76"/>
      <c r="K313" s="76"/>
      <c r="L313" s="76"/>
      <c r="M313" s="76"/>
      <c r="N313" s="76"/>
      <c r="O313" s="76"/>
      <c r="P313" s="76"/>
      <c r="Q313" s="76"/>
      <c r="R313" s="76"/>
      <c r="S313" s="76"/>
      <c r="T313" s="76"/>
      <c r="U313" s="76"/>
      <c r="V313" s="76"/>
      <c r="W313" s="76"/>
      <c r="X313" s="76"/>
      <c r="Y313" s="76"/>
      <c r="Z313" s="76"/>
      <c r="AA313" s="76"/>
      <c r="AB313" s="76"/>
    </row>
    <row r="314" spans="6:28">
      <c r="F314" s="76"/>
      <c r="G314" s="76"/>
      <c r="H314" s="76"/>
      <c r="I314" s="76"/>
      <c r="J314" s="76"/>
      <c r="K314" s="76"/>
      <c r="L314" s="76"/>
      <c r="M314" s="76"/>
      <c r="N314" s="76"/>
      <c r="O314" s="76"/>
      <c r="P314" s="76"/>
      <c r="Q314" s="76"/>
      <c r="R314" s="76"/>
      <c r="S314" s="76"/>
      <c r="T314" s="76"/>
      <c r="U314" s="76"/>
      <c r="V314" s="76"/>
      <c r="W314" s="76"/>
      <c r="X314" s="76"/>
      <c r="Y314" s="76"/>
      <c r="Z314" s="76"/>
      <c r="AA314" s="76"/>
      <c r="AB314" s="76"/>
    </row>
    <row r="315" spans="6:28">
      <c r="F315" s="76"/>
      <c r="G315" s="76"/>
      <c r="H315" s="76"/>
      <c r="I315" s="76"/>
      <c r="J315" s="76"/>
      <c r="K315" s="76"/>
      <c r="L315" s="76"/>
      <c r="M315" s="76"/>
      <c r="N315" s="76"/>
      <c r="O315" s="76"/>
      <c r="P315" s="76"/>
      <c r="Q315" s="76"/>
      <c r="R315" s="76"/>
      <c r="S315" s="76"/>
      <c r="T315" s="76"/>
      <c r="U315" s="76"/>
      <c r="V315" s="76"/>
      <c r="W315" s="76"/>
      <c r="X315" s="76"/>
      <c r="Y315" s="76"/>
      <c r="Z315" s="76"/>
      <c r="AA315" s="76"/>
      <c r="AB315" s="76"/>
    </row>
    <row r="316" spans="6:28">
      <c r="F316" s="76"/>
      <c r="G316" s="76"/>
      <c r="H316" s="76"/>
      <c r="I316" s="76"/>
      <c r="J316" s="76"/>
      <c r="K316" s="76"/>
      <c r="L316" s="76"/>
      <c r="M316" s="76"/>
      <c r="N316" s="76"/>
      <c r="O316" s="76"/>
      <c r="P316" s="76"/>
      <c r="Q316" s="76"/>
      <c r="R316" s="76"/>
      <c r="S316" s="76"/>
      <c r="T316" s="76"/>
      <c r="U316" s="76"/>
      <c r="V316" s="76"/>
      <c r="W316" s="76"/>
      <c r="X316" s="76"/>
      <c r="Y316" s="76"/>
      <c r="Z316" s="76"/>
      <c r="AA316" s="76"/>
      <c r="AB316" s="76"/>
    </row>
    <row r="317" spans="6:28">
      <c r="F317" s="76"/>
      <c r="G317" s="76"/>
      <c r="H317" s="76"/>
      <c r="I317" s="76"/>
      <c r="J317" s="76"/>
      <c r="K317" s="76"/>
      <c r="L317" s="76"/>
      <c r="M317" s="76"/>
      <c r="N317" s="76"/>
      <c r="O317" s="76"/>
      <c r="P317" s="76"/>
      <c r="Q317" s="76"/>
      <c r="R317" s="76"/>
      <c r="S317" s="76"/>
      <c r="T317" s="76"/>
      <c r="U317" s="76"/>
      <c r="V317" s="76"/>
      <c r="W317" s="76"/>
      <c r="X317" s="76"/>
      <c r="Y317" s="76"/>
      <c r="Z317" s="76"/>
      <c r="AA317" s="76"/>
      <c r="AB317" s="76"/>
    </row>
    <row r="318" spans="6:28">
      <c r="F318" s="76"/>
      <c r="G318" s="76"/>
      <c r="H318" s="76"/>
      <c r="I318" s="76"/>
      <c r="J318" s="76"/>
      <c r="K318" s="76"/>
      <c r="L318" s="76"/>
      <c r="M318" s="76"/>
      <c r="N318" s="76"/>
      <c r="O318" s="76"/>
      <c r="P318" s="76"/>
      <c r="Q318" s="76"/>
      <c r="R318" s="76"/>
      <c r="S318" s="76"/>
      <c r="T318" s="76"/>
      <c r="U318" s="76"/>
      <c r="V318" s="76"/>
      <c r="W318" s="76"/>
      <c r="X318" s="76"/>
      <c r="Y318" s="76"/>
      <c r="Z318" s="76"/>
      <c r="AA318" s="76"/>
      <c r="AB318" s="76"/>
    </row>
    <row r="319" spans="6:28">
      <c r="F319" s="76"/>
      <c r="G319" s="76"/>
      <c r="H319" s="76"/>
      <c r="I319" s="76"/>
      <c r="J319" s="76"/>
      <c r="K319" s="76"/>
      <c r="L319" s="76"/>
      <c r="M319" s="76"/>
      <c r="N319" s="76"/>
      <c r="O319" s="76"/>
      <c r="P319" s="76"/>
      <c r="Q319" s="76"/>
      <c r="R319" s="76"/>
      <c r="S319" s="76"/>
      <c r="T319" s="76"/>
      <c r="U319" s="76"/>
      <c r="V319" s="76"/>
      <c r="W319" s="76"/>
      <c r="X319" s="76"/>
      <c r="Y319" s="76"/>
      <c r="Z319" s="76"/>
      <c r="AA319" s="76"/>
      <c r="AB319" s="76"/>
    </row>
    <row r="320" spans="6:28">
      <c r="F320" s="76"/>
      <c r="G320" s="76"/>
      <c r="H320" s="76"/>
      <c r="I320" s="76"/>
      <c r="J320" s="76"/>
      <c r="K320" s="76"/>
      <c r="L320" s="76"/>
      <c r="M320" s="76"/>
      <c r="N320" s="76"/>
      <c r="O320" s="76"/>
      <c r="P320" s="76"/>
      <c r="Q320" s="76"/>
      <c r="R320" s="76"/>
      <c r="S320" s="76"/>
      <c r="T320" s="76"/>
      <c r="U320" s="76"/>
      <c r="V320" s="76"/>
      <c r="W320" s="76"/>
      <c r="X320" s="76"/>
      <c r="Y320" s="76"/>
      <c r="Z320" s="76"/>
      <c r="AA320" s="76"/>
      <c r="AB320" s="76"/>
    </row>
    <row r="321" spans="6:28">
      <c r="F321" s="76"/>
      <c r="G321" s="76"/>
      <c r="H321" s="76"/>
      <c r="I321" s="76"/>
      <c r="J321" s="76"/>
      <c r="K321" s="76"/>
      <c r="L321" s="76"/>
      <c r="M321" s="76"/>
      <c r="N321" s="76"/>
      <c r="O321" s="76"/>
      <c r="P321" s="76"/>
      <c r="Q321" s="76"/>
      <c r="R321" s="76"/>
      <c r="S321" s="76"/>
      <c r="T321" s="76"/>
      <c r="U321" s="76"/>
      <c r="V321" s="76"/>
      <c r="W321" s="76"/>
      <c r="X321" s="76"/>
      <c r="Y321" s="76"/>
      <c r="Z321" s="76"/>
      <c r="AA321" s="76"/>
      <c r="AB321" s="76"/>
    </row>
    <row r="322" spans="6:28">
      <c r="F322" s="76"/>
      <c r="G322" s="76"/>
      <c r="H322" s="76"/>
      <c r="I322" s="76"/>
      <c r="J322" s="76"/>
      <c r="K322" s="76"/>
      <c r="L322" s="76"/>
      <c r="M322" s="76"/>
      <c r="N322" s="76"/>
      <c r="O322" s="76"/>
      <c r="P322" s="76"/>
      <c r="Q322" s="76"/>
      <c r="R322" s="76"/>
      <c r="S322" s="76"/>
      <c r="T322" s="76"/>
      <c r="U322" s="76"/>
      <c r="V322" s="76"/>
      <c r="W322" s="76"/>
      <c r="X322" s="76"/>
      <c r="Y322" s="76"/>
      <c r="Z322" s="76"/>
      <c r="AA322" s="76"/>
      <c r="AB322" s="76"/>
    </row>
    <row r="323" spans="6:28">
      <c r="F323" s="76"/>
      <c r="G323" s="76"/>
      <c r="H323" s="76"/>
      <c r="I323" s="76"/>
      <c r="J323" s="76"/>
      <c r="K323" s="76"/>
      <c r="L323" s="76"/>
      <c r="M323" s="76"/>
      <c r="N323" s="76"/>
      <c r="O323" s="76"/>
      <c r="P323" s="76"/>
      <c r="Q323" s="76"/>
      <c r="R323" s="76"/>
      <c r="S323" s="76"/>
      <c r="T323" s="76"/>
      <c r="U323" s="76"/>
      <c r="V323" s="76"/>
      <c r="W323" s="76"/>
      <c r="X323" s="76"/>
      <c r="Y323" s="76"/>
      <c r="Z323" s="76"/>
      <c r="AA323" s="76"/>
      <c r="AB323" s="76"/>
    </row>
    <row r="324" spans="6:28">
      <c r="F324" s="76"/>
      <c r="G324" s="76"/>
      <c r="H324" s="76"/>
      <c r="I324" s="76"/>
      <c r="J324" s="76"/>
      <c r="K324" s="76"/>
      <c r="L324" s="76"/>
      <c r="M324" s="76"/>
      <c r="N324" s="76"/>
      <c r="O324" s="76"/>
      <c r="P324" s="76"/>
      <c r="Q324" s="76"/>
      <c r="R324" s="76"/>
      <c r="S324" s="76"/>
      <c r="T324" s="76"/>
      <c r="U324" s="76"/>
      <c r="V324" s="76"/>
      <c r="W324" s="76"/>
      <c r="X324" s="76"/>
      <c r="Y324" s="76"/>
      <c r="Z324" s="76"/>
      <c r="AA324" s="76"/>
      <c r="AB324" s="76"/>
    </row>
    <row r="325" spans="6:28">
      <c r="F325" s="76"/>
      <c r="G325" s="76"/>
      <c r="H325" s="76"/>
      <c r="I325" s="76"/>
      <c r="J325" s="76"/>
      <c r="K325" s="76"/>
      <c r="L325" s="76"/>
      <c r="M325" s="76"/>
      <c r="N325" s="76"/>
      <c r="O325" s="76"/>
      <c r="P325" s="76"/>
      <c r="Q325" s="76"/>
      <c r="R325" s="76"/>
      <c r="S325" s="76"/>
      <c r="T325" s="76"/>
      <c r="U325" s="76"/>
      <c r="V325" s="76"/>
      <c r="W325" s="76"/>
      <c r="X325" s="76"/>
      <c r="Y325" s="76"/>
      <c r="Z325" s="76"/>
      <c r="AA325" s="76"/>
      <c r="AB325" s="76"/>
    </row>
    <row r="326" spans="6:28">
      <c r="F326" s="76"/>
      <c r="G326" s="76"/>
      <c r="H326" s="76"/>
      <c r="I326" s="76"/>
      <c r="J326" s="76"/>
      <c r="K326" s="76"/>
      <c r="L326" s="76"/>
      <c r="M326" s="76"/>
      <c r="N326" s="76"/>
      <c r="O326" s="76"/>
      <c r="P326" s="76"/>
      <c r="Q326" s="76"/>
      <c r="R326" s="76"/>
      <c r="S326" s="76"/>
      <c r="T326" s="76"/>
      <c r="U326" s="76"/>
      <c r="V326" s="76"/>
      <c r="W326" s="76"/>
      <c r="X326" s="76"/>
      <c r="Y326" s="76"/>
      <c r="Z326" s="76"/>
      <c r="AA326" s="76"/>
      <c r="AB326" s="76"/>
    </row>
    <row r="327" spans="6:28">
      <c r="F327" s="76"/>
      <c r="G327" s="76"/>
      <c r="H327" s="76"/>
      <c r="I327" s="76"/>
      <c r="J327" s="76"/>
      <c r="K327" s="76"/>
      <c r="L327" s="76"/>
      <c r="M327" s="76"/>
      <c r="N327" s="76"/>
      <c r="O327" s="76"/>
      <c r="P327" s="76"/>
      <c r="Q327" s="76"/>
      <c r="R327" s="76"/>
      <c r="S327" s="76"/>
      <c r="T327" s="76"/>
      <c r="U327" s="76"/>
      <c r="V327" s="76"/>
      <c r="W327" s="76"/>
      <c r="X327" s="76"/>
      <c r="Y327" s="76"/>
      <c r="Z327" s="76"/>
      <c r="AA327" s="76"/>
      <c r="AB327" s="76"/>
    </row>
    <row r="328" spans="6:28">
      <c r="F328" s="76"/>
      <c r="G328" s="76"/>
      <c r="H328" s="76"/>
      <c r="I328" s="76"/>
      <c r="J328" s="76"/>
      <c r="K328" s="76"/>
      <c r="L328" s="76"/>
      <c r="M328" s="76"/>
      <c r="N328" s="76"/>
      <c r="O328" s="76"/>
      <c r="P328" s="76"/>
      <c r="Q328" s="76"/>
      <c r="R328" s="76"/>
      <c r="S328" s="76"/>
      <c r="T328" s="76"/>
      <c r="U328" s="76"/>
      <c r="V328" s="76"/>
      <c r="W328" s="76"/>
      <c r="X328" s="76"/>
      <c r="Y328" s="76"/>
      <c r="Z328" s="76"/>
      <c r="AA328" s="76"/>
      <c r="AB328" s="76"/>
    </row>
    <row r="329" spans="6:28">
      <c r="F329" s="76"/>
      <c r="G329" s="76"/>
      <c r="H329" s="76"/>
      <c r="I329" s="76"/>
      <c r="J329" s="76"/>
      <c r="K329" s="76"/>
      <c r="L329" s="76"/>
      <c r="M329" s="76"/>
      <c r="N329" s="76"/>
      <c r="O329" s="76"/>
      <c r="P329" s="76"/>
      <c r="Q329" s="76"/>
      <c r="R329" s="76"/>
      <c r="S329" s="76"/>
      <c r="T329" s="76"/>
      <c r="U329" s="76"/>
      <c r="V329" s="76"/>
      <c r="W329" s="76"/>
      <c r="X329" s="76"/>
      <c r="Y329" s="76"/>
      <c r="Z329" s="76"/>
      <c r="AA329" s="76"/>
      <c r="AB329" s="76"/>
    </row>
    <row r="330" spans="6:28">
      <c r="F330" s="76"/>
      <c r="G330" s="76"/>
      <c r="H330" s="76"/>
      <c r="I330" s="76"/>
      <c r="J330" s="76"/>
      <c r="K330" s="76"/>
      <c r="L330" s="76"/>
      <c r="M330" s="76"/>
      <c r="N330" s="76"/>
      <c r="O330" s="76"/>
      <c r="P330" s="76"/>
      <c r="Q330" s="76"/>
      <c r="R330" s="76"/>
      <c r="S330" s="76"/>
      <c r="T330" s="76"/>
      <c r="U330" s="76"/>
      <c r="V330" s="76"/>
      <c r="W330" s="76"/>
      <c r="X330" s="76"/>
      <c r="Y330" s="76"/>
      <c r="Z330" s="76"/>
      <c r="AA330" s="76"/>
      <c r="AB330" s="76"/>
    </row>
    <row r="331" spans="6:28">
      <c r="F331" s="76"/>
      <c r="G331" s="76"/>
      <c r="H331" s="76"/>
      <c r="I331" s="76"/>
      <c r="J331" s="76"/>
      <c r="K331" s="76"/>
      <c r="L331" s="76"/>
      <c r="M331" s="76"/>
      <c r="N331" s="76"/>
      <c r="O331" s="76"/>
      <c r="P331" s="76"/>
      <c r="Q331" s="76"/>
      <c r="R331" s="76"/>
      <c r="S331" s="76"/>
      <c r="T331" s="76"/>
      <c r="U331" s="76"/>
      <c r="V331" s="76"/>
      <c r="W331" s="76"/>
      <c r="X331" s="76"/>
      <c r="Y331" s="76"/>
      <c r="Z331" s="76"/>
      <c r="AA331" s="76"/>
      <c r="AB331" s="76"/>
    </row>
    <row r="332" spans="6:28">
      <c r="F332" s="76"/>
      <c r="G332" s="76"/>
      <c r="H332" s="76"/>
      <c r="I332" s="76"/>
      <c r="J332" s="76"/>
      <c r="K332" s="76"/>
      <c r="L332" s="76"/>
      <c r="M332" s="76"/>
      <c r="N332" s="76"/>
      <c r="O332" s="76"/>
      <c r="P332" s="76"/>
      <c r="Q332" s="76"/>
      <c r="R332" s="76"/>
      <c r="S332" s="76"/>
      <c r="T332" s="76"/>
      <c r="U332" s="76"/>
      <c r="V332" s="76"/>
      <c r="W332" s="76"/>
      <c r="X332" s="76"/>
      <c r="Y332" s="76"/>
      <c r="Z332" s="76"/>
      <c r="AA332" s="76"/>
      <c r="AB332" s="76"/>
    </row>
    <row r="333" spans="6:28">
      <c r="F333" s="76"/>
      <c r="G333" s="76"/>
      <c r="H333" s="76"/>
      <c r="I333" s="76"/>
      <c r="J333" s="76"/>
      <c r="K333" s="76"/>
      <c r="L333" s="76"/>
      <c r="M333" s="76"/>
      <c r="N333" s="76"/>
      <c r="O333" s="76"/>
      <c r="P333" s="76"/>
      <c r="Q333" s="76"/>
      <c r="R333" s="76"/>
      <c r="S333" s="76"/>
      <c r="T333" s="76"/>
      <c r="U333" s="76"/>
      <c r="V333" s="76"/>
      <c r="W333" s="76"/>
      <c r="X333" s="76"/>
      <c r="Y333" s="76"/>
      <c r="Z333" s="76"/>
      <c r="AA333" s="76"/>
      <c r="AB333" s="76"/>
    </row>
    <row r="334" spans="6:28">
      <c r="F334" s="76"/>
      <c r="G334" s="76"/>
      <c r="H334" s="76"/>
      <c r="I334" s="76"/>
      <c r="J334" s="76"/>
      <c r="K334" s="76"/>
      <c r="L334" s="76"/>
      <c r="M334" s="76"/>
      <c r="N334" s="76"/>
      <c r="O334" s="76"/>
      <c r="P334" s="76"/>
      <c r="Q334" s="76"/>
      <c r="R334" s="76"/>
      <c r="S334" s="76"/>
      <c r="T334" s="76"/>
      <c r="U334" s="76"/>
      <c r="V334" s="76"/>
      <c r="W334" s="76"/>
      <c r="X334" s="76"/>
      <c r="Y334" s="76"/>
      <c r="Z334" s="76"/>
      <c r="AA334" s="76"/>
      <c r="AB334" s="76"/>
    </row>
    <row r="335" spans="6:28">
      <c r="F335" s="76"/>
      <c r="G335" s="76"/>
      <c r="H335" s="76"/>
      <c r="I335" s="76"/>
      <c r="J335" s="76"/>
      <c r="K335" s="76"/>
      <c r="L335" s="76"/>
      <c r="M335" s="76"/>
      <c r="N335" s="76"/>
      <c r="O335" s="76"/>
      <c r="P335" s="76"/>
      <c r="Q335" s="76"/>
      <c r="R335" s="76"/>
      <c r="S335" s="76"/>
      <c r="T335" s="76"/>
      <c r="U335" s="76"/>
      <c r="V335" s="76"/>
      <c r="W335" s="76"/>
      <c r="X335" s="76"/>
      <c r="Y335" s="76"/>
      <c r="Z335" s="76"/>
      <c r="AA335" s="76"/>
      <c r="AB335" s="76"/>
    </row>
    <row r="336" spans="6:28">
      <c r="F336" s="76"/>
      <c r="G336" s="76"/>
      <c r="H336" s="76"/>
      <c r="I336" s="76"/>
      <c r="J336" s="76"/>
      <c r="K336" s="76"/>
      <c r="L336" s="76"/>
      <c r="M336" s="76"/>
      <c r="N336" s="76"/>
      <c r="O336" s="76"/>
      <c r="P336" s="76"/>
      <c r="Q336" s="76"/>
      <c r="R336" s="76"/>
      <c r="S336" s="76"/>
      <c r="T336" s="76"/>
      <c r="U336" s="76"/>
      <c r="V336" s="76"/>
      <c r="W336" s="76"/>
      <c r="X336" s="76"/>
      <c r="Y336" s="76"/>
      <c r="Z336" s="76"/>
      <c r="AA336" s="76"/>
      <c r="AB336" s="76"/>
    </row>
    <row r="337" spans="6:28">
      <c r="F337" s="76"/>
      <c r="G337" s="76"/>
      <c r="H337" s="76"/>
      <c r="I337" s="76"/>
      <c r="J337" s="76"/>
      <c r="K337" s="76"/>
      <c r="L337" s="76"/>
      <c r="M337" s="76"/>
      <c r="N337" s="76"/>
      <c r="O337" s="76"/>
      <c r="P337" s="76"/>
      <c r="Q337" s="76"/>
      <c r="R337" s="76"/>
      <c r="S337" s="76"/>
      <c r="T337" s="76"/>
      <c r="U337" s="76"/>
      <c r="V337" s="76"/>
      <c r="W337" s="76"/>
      <c r="X337" s="76"/>
      <c r="Y337" s="76"/>
      <c r="Z337" s="76"/>
      <c r="AA337" s="76"/>
      <c r="AB337" s="76"/>
    </row>
    <row r="338" spans="6:28">
      <c r="F338" s="76"/>
      <c r="G338" s="76"/>
      <c r="H338" s="76"/>
      <c r="I338" s="76"/>
      <c r="J338" s="76"/>
      <c r="K338" s="76"/>
      <c r="L338" s="76"/>
      <c r="M338" s="76"/>
      <c r="N338" s="76"/>
      <c r="O338" s="76"/>
      <c r="P338" s="76"/>
      <c r="Q338" s="76"/>
      <c r="R338" s="76"/>
      <c r="S338" s="76"/>
      <c r="T338" s="76"/>
      <c r="U338" s="76"/>
      <c r="V338" s="76"/>
      <c r="W338" s="76"/>
      <c r="X338" s="76"/>
      <c r="Y338" s="76"/>
      <c r="Z338" s="76"/>
      <c r="AA338" s="76"/>
      <c r="AB338" s="76"/>
    </row>
    <row r="339" spans="6:28">
      <c r="F339" s="76"/>
      <c r="G339" s="76"/>
      <c r="H339" s="76"/>
      <c r="I339" s="76"/>
      <c r="J339" s="76"/>
      <c r="K339" s="76"/>
      <c r="L339" s="76"/>
      <c r="M339" s="76"/>
      <c r="N339" s="76"/>
      <c r="O339" s="76"/>
      <c r="P339" s="76"/>
      <c r="Q339" s="76"/>
      <c r="R339" s="76"/>
      <c r="S339" s="76"/>
      <c r="T339" s="76"/>
      <c r="U339" s="76"/>
      <c r="V339" s="76"/>
      <c r="W339" s="76"/>
      <c r="X339" s="76"/>
      <c r="Y339" s="76"/>
      <c r="Z339" s="76"/>
      <c r="AA339" s="76"/>
      <c r="AB339" s="76"/>
    </row>
    <row r="340" spans="6:28">
      <c r="F340" s="76"/>
      <c r="G340" s="76"/>
      <c r="H340" s="76"/>
      <c r="I340" s="76"/>
      <c r="J340" s="76"/>
      <c r="K340" s="76"/>
      <c r="L340" s="76"/>
      <c r="M340" s="76"/>
      <c r="N340" s="76"/>
      <c r="O340" s="76"/>
      <c r="P340" s="76"/>
      <c r="Q340" s="76"/>
      <c r="R340" s="76"/>
      <c r="S340" s="76"/>
      <c r="T340" s="76"/>
      <c r="U340" s="76"/>
      <c r="V340" s="76"/>
      <c r="W340" s="76"/>
      <c r="X340" s="76"/>
      <c r="Y340" s="76"/>
      <c r="Z340" s="76"/>
      <c r="AA340" s="76"/>
      <c r="AB340" s="76"/>
    </row>
    <row r="341" spans="6:28">
      <c r="F341" s="76"/>
      <c r="G341" s="76"/>
      <c r="H341" s="76"/>
      <c r="I341" s="76"/>
      <c r="J341" s="76"/>
      <c r="K341" s="76"/>
      <c r="L341" s="76"/>
      <c r="M341" s="76"/>
      <c r="N341" s="76"/>
      <c r="O341" s="76"/>
      <c r="P341" s="76"/>
      <c r="Q341" s="76"/>
      <c r="R341" s="76"/>
      <c r="S341" s="76"/>
      <c r="T341" s="76"/>
      <c r="U341" s="76"/>
      <c r="V341" s="76"/>
      <c r="W341" s="76"/>
      <c r="X341" s="76"/>
      <c r="Y341" s="76"/>
      <c r="Z341" s="76"/>
      <c r="AA341" s="76"/>
      <c r="AB341" s="76"/>
    </row>
    <row r="342" spans="6:28">
      <c r="F342" s="76"/>
      <c r="G342" s="76"/>
      <c r="H342" s="76"/>
      <c r="I342" s="76"/>
      <c r="J342" s="76"/>
      <c r="K342" s="76"/>
      <c r="L342" s="76"/>
      <c r="M342" s="76"/>
      <c r="N342" s="76"/>
      <c r="O342" s="76"/>
      <c r="P342" s="76"/>
      <c r="Q342" s="76"/>
      <c r="R342" s="76"/>
      <c r="S342" s="76"/>
      <c r="T342" s="76"/>
      <c r="U342" s="76"/>
      <c r="V342" s="76"/>
      <c r="W342" s="76"/>
      <c r="X342" s="76"/>
      <c r="Y342" s="76"/>
      <c r="Z342" s="76"/>
      <c r="AA342" s="76"/>
      <c r="AB342" s="76"/>
    </row>
    <row r="343" spans="6:28">
      <c r="F343" s="76"/>
      <c r="G343" s="76"/>
      <c r="H343" s="76"/>
      <c r="I343" s="76"/>
      <c r="J343" s="76"/>
      <c r="K343" s="76"/>
      <c r="L343" s="76"/>
      <c r="M343" s="76"/>
      <c r="N343" s="76"/>
      <c r="O343" s="76"/>
      <c r="P343" s="76"/>
      <c r="Q343" s="76"/>
      <c r="R343" s="76"/>
      <c r="S343" s="76"/>
      <c r="T343" s="76"/>
      <c r="U343" s="76"/>
      <c r="V343" s="76"/>
      <c r="W343" s="76"/>
      <c r="X343" s="76"/>
      <c r="Y343" s="76"/>
      <c r="Z343" s="76"/>
      <c r="AA343" s="76"/>
      <c r="AB343" s="76"/>
    </row>
    <row r="344" spans="6:28">
      <c r="F344" s="76"/>
      <c r="G344" s="76"/>
      <c r="H344" s="76"/>
      <c r="I344" s="76"/>
      <c r="J344" s="76"/>
      <c r="K344" s="76"/>
      <c r="L344" s="76"/>
      <c r="M344" s="76"/>
      <c r="N344" s="76"/>
      <c r="O344" s="76"/>
      <c r="P344" s="76"/>
      <c r="Q344" s="76"/>
      <c r="R344" s="76"/>
      <c r="S344" s="76"/>
      <c r="T344" s="76"/>
      <c r="U344" s="76"/>
      <c r="V344" s="76"/>
      <c r="W344" s="76"/>
      <c r="X344" s="76"/>
      <c r="Y344" s="76"/>
      <c r="Z344" s="76"/>
      <c r="AA344" s="76"/>
      <c r="AB344" s="76"/>
    </row>
    <row r="345" spans="6:28">
      <c r="F345" s="76"/>
      <c r="G345" s="76"/>
      <c r="H345" s="76"/>
      <c r="I345" s="76"/>
      <c r="J345" s="76"/>
      <c r="K345" s="76"/>
      <c r="L345" s="76"/>
      <c r="M345" s="76"/>
      <c r="N345" s="76"/>
      <c r="O345" s="76"/>
      <c r="P345" s="76"/>
      <c r="Q345" s="76"/>
      <c r="R345" s="76"/>
      <c r="S345" s="76"/>
      <c r="T345" s="76"/>
      <c r="U345" s="76"/>
      <c r="V345" s="76"/>
      <c r="W345" s="76"/>
      <c r="X345" s="76"/>
      <c r="Y345" s="76"/>
      <c r="Z345" s="76"/>
      <c r="AA345" s="76"/>
      <c r="AB345" s="76"/>
    </row>
    <row r="346" spans="6:28">
      <c r="F346" s="76"/>
      <c r="G346" s="76"/>
      <c r="H346" s="76"/>
      <c r="I346" s="76"/>
      <c r="J346" s="76"/>
      <c r="K346" s="76"/>
      <c r="L346" s="76"/>
      <c r="M346" s="76"/>
      <c r="N346" s="76"/>
      <c r="O346" s="76"/>
      <c r="P346" s="76"/>
      <c r="Q346" s="76"/>
      <c r="R346" s="76"/>
      <c r="S346" s="76"/>
      <c r="T346" s="76"/>
      <c r="U346" s="76"/>
      <c r="V346" s="76"/>
      <c r="W346" s="76"/>
      <c r="X346" s="76"/>
      <c r="Y346" s="76"/>
      <c r="Z346" s="76"/>
      <c r="AA346" s="76"/>
      <c r="AB346" s="76"/>
    </row>
    <row r="347" spans="6:28">
      <c r="F347" s="76"/>
      <c r="G347" s="76"/>
      <c r="H347" s="76"/>
      <c r="I347" s="76"/>
      <c r="J347" s="76"/>
      <c r="K347" s="76"/>
      <c r="L347" s="76"/>
      <c r="M347" s="76"/>
      <c r="N347" s="76"/>
      <c r="O347" s="76"/>
      <c r="P347" s="76"/>
      <c r="Q347" s="76"/>
      <c r="R347" s="76"/>
      <c r="S347" s="76"/>
      <c r="T347" s="76"/>
      <c r="U347" s="76"/>
      <c r="V347" s="76"/>
      <c r="W347" s="76"/>
      <c r="X347" s="76"/>
      <c r="Y347" s="76"/>
      <c r="Z347" s="76"/>
      <c r="AA347" s="76"/>
      <c r="AB347" s="76"/>
    </row>
    <row r="348" spans="6:28">
      <c r="F348" s="76"/>
      <c r="G348" s="76"/>
      <c r="H348" s="76"/>
      <c r="I348" s="76"/>
      <c r="J348" s="76"/>
      <c r="K348" s="76"/>
      <c r="L348" s="76"/>
      <c r="M348" s="76"/>
      <c r="N348" s="76"/>
      <c r="O348" s="76"/>
      <c r="P348" s="76"/>
      <c r="Q348" s="76"/>
      <c r="R348" s="76"/>
      <c r="S348" s="76"/>
      <c r="T348" s="76"/>
      <c r="U348" s="76"/>
      <c r="V348" s="76"/>
      <c r="W348" s="76"/>
      <c r="X348" s="76"/>
      <c r="Y348" s="76"/>
      <c r="Z348" s="76"/>
      <c r="AA348" s="76"/>
      <c r="AB348" s="76"/>
    </row>
    <row r="349" spans="6:28">
      <c r="F349" s="76"/>
      <c r="G349" s="76"/>
      <c r="H349" s="76"/>
      <c r="I349" s="76"/>
      <c r="J349" s="76"/>
      <c r="K349" s="76"/>
      <c r="L349" s="76"/>
      <c r="M349" s="76"/>
      <c r="N349" s="76"/>
      <c r="O349" s="76"/>
      <c r="P349" s="76"/>
      <c r="Q349" s="76"/>
      <c r="R349" s="76"/>
      <c r="S349" s="76"/>
      <c r="T349" s="76"/>
      <c r="U349" s="76"/>
      <c r="V349" s="76"/>
      <c r="W349" s="76"/>
      <c r="X349" s="76"/>
      <c r="Y349" s="76"/>
      <c r="Z349" s="76"/>
      <c r="AA349" s="76"/>
      <c r="AB349" s="76"/>
    </row>
    <row r="350" spans="6:28">
      <c r="F350" s="76"/>
      <c r="G350" s="76"/>
      <c r="H350" s="76"/>
      <c r="I350" s="76"/>
      <c r="J350" s="76"/>
      <c r="K350" s="76"/>
      <c r="L350" s="76"/>
      <c r="M350" s="76"/>
      <c r="N350" s="76"/>
      <c r="O350" s="76"/>
      <c r="P350" s="76"/>
      <c r="Q350" s="76"/>
      <c r="R350" s="76"/>
      <c r="S350" s="76"/>
      <c r="T350" s="76"/>
      <c r="U350" s="76"/>
      <c r="V350" s="76"/>
      <c r="W350" s="76"/>
      <c r="X350" s="76"/>
      <c r="Y350" s="76"/>
      <c r="Z350" s="76"/>
      <c r="AA350" s="76"/>
      <c r="AB350" s="76"/>
    </row>
    <row r="351" spans="6:28">
      <c r="F351" s="76"/>
      <c r="G351" s="76"/>
      <c r="H351" s="76"/>
      <c r="I351" s="76"/>
      <c r="J351" s="76"/>
      <c r="K351" s="76"/>
      <c r="L351" s="76"/>
      <c r="M351" s="76"/>
      <c r="N351" s="76"/>
      <c r="O351" s="76"/>
      <c r="P351" s="76"/>
      <c r="Q351" s="76"/>
      <c r="R351" s="76"/>
      <c r="S351" s="76"/>
      <c r="T351" s="76"/>
      <c r="U351" s="76"/>
      <c r="V351" s="76"/>
      <c r="W351" s="76"/>
      <c r="X351" s="76"/>
      <c r="Y351" s="76"/>
      <c r="Z351" s="76"/>
      <c r="AA351" s="76"/>
      <c r="AB351" s="76"/>
    </row>
    <row r="352" spans="6:28">
      <c r="F352" s="76"/>
      <c r="G352" s="76"/>
      <c r="H352" s="76"/>
      <c r="I352" s="76"/>
      <c r="J352" s="76"/>
      <c r="K352" s="76"/>
      <c r="L352" s="76"/>
      <c r="M352" s="76"/>
      <c r="N352" s="76"/>
      <c r="O352" s="76"/>
      <c r="P352" s="76"/>
      <c r="Q352" s="76"/>
      <c r="R352" s="76"/>
      <c r="S352" s="76"/>
      <c r="T352" s="76"/>
      <c r="U352" s="76"/>
      <c r="V352" s="76"/>
      <c r="W352" s="76"/>
      <c r="X352" s="76"/>
      <c r="Y352" s="76"/>
      <c r="Z352" s="76"/>
      <c r="AA352" s="76"/>
      <c r="AB352" s="76"/>
    </row>
    <row r="353" spans="6:28">
      <c r="F353" s="76"/>
      <c r="G353" s="76"/>
      <c r="H353" s="76"/>
      <c r="I353" s="76"/>
      <c r="J353" s="76"/>
      <c r="K353" s="76"/>
      <c r="L353" s="76"/>
      <c r="M353" s="76"/>
      <c r="N353" s="76"/>
      <c r="O353" s="76"/>
      <c r="P353" s="76"/>
      <c r="Q353" s="76"/>
      <c r="R353" s="76"/>
      <c r="S353" s="76"/>
      <c r="T353" s="76"/>
      <c r="U353" s="76"/>
      <c r="V353" s="76"/>
      <c r="W353" s="76"/>
      <c r="X353" s="76"/>
      <c r="Y353" s="76"/>
      <c r="Z353" s="76"/>
      <c r="AA353" s="76"/>
      <c r="AB353" s="76"/>
    </row>
    <row r="354" spans="6:28">
      <c r="F354" s="76"/>
      <c r="G354" s="76"/>
      <c r="H354" s="76"/>
      <c r="I354" s="76"/>
      <c r="J354" s="76"/>
      <c r="K354" s="76"/>
      <c r="L354" s="76"/>
      <c r="M354" s="76"/>
      <c r="N354" s="76"/>
      <c r="O354" s="76"/>
      <c r="P354" s="76"/>
      <c r="Q354" s="76"/>
      <c r="R354" s="76"/>
      <c r="S354" s="76"/>
      <c r="T354" s="76"/>
      <c r="U354" s="76"/>
      <c r="V354" s="76"/>
      <c r="W354" s="76"/>
      <c r="X354" s="76"/>
      <c r="Y354" s="76"/>
      <c r="Z354" s="76"/>
      <c r="AA354" s="76"/>
      <c r="AB354" s="76"/>
    </row>
    <row r="355" spans="6:28">
      <c r="F355" s="76"/>
      <c r="G355" s="76"/>
      <c r="H355" s="76"/>
      <c r="I355" s="76"/>
      <c r="J355" s="76"/>
      <c r="K355" s="76"/>
      <c r="L355" s="76"/>
      <c r="M355" s="76"/>
      <c r="N355" s="76"/>
      <c r="O355" s="76"/>
      <c r="P355" s="76"/>
      <c r="Q355" s="76"/>
      <c r="R355" s="76"/>
      <c r="S355" s="76"/>
      <c r="T355" s="76"/>
      <c r="U355" s="76"/>
      <c r="V355" s="76"/>
      <c r="W355" s="76"/>
      <c r="X355" s="76"/>
      <c r="Y355" s="76"/>
      <c r="Z355" s="76"/>
      <c r="AA355" s="76"/>
      <c r="AB355" s="76"/>
    </row>
    <row r="356" spans="6:28">
      <c r="F356" s="76"/>
      <c r="G356" s="76"/>
      <c r="H356" s="76"/>
      <c r="I356" s="76"/>
      <c r="J356" s="76"/>
      <c r="K356" s="76"/>
      <c r="L356" s="76"/>
      <c r="M356" s="76"/>
      <c r="N356" s="76"/>
      <c r="O356" s="76"/>
      <c r="P356" s="76"/>
      <c r="Q356" s="76"/>
      <c r="R356" s="76"/>
      <c r="S356" s="76"/>
      <c r="T356" s="76"/>
      <c r="U356" s="76"/>
      <c r="V356" s="76"/>
      <c r="W356" s="76"/>
      <c r="X356" s="76"/>
      <c r="Y356" s="76"/>
      <c r="Z356" s="76"/>
      <c r="AA356" s="76"/>
      <c r="AB356" s="76"/>
    </row>
    <row r="357" spans="6:28">
      <c r="F357" s="76"/>
      <c r="G357" s="76"/>
      <c r="H357" s="76"/>
      <c r="I357" s="76"/>
      <c r="J357" s="76"/>
      <c r="K357" s="76"/>
      <c r="L357" s="76"/>
      <c r="M357" s="76"/>
      <c r="N357" s="76"/>
      <c r="O357" s="76"/>
      <c r="P357" s="76"/>
      <c r="Q357" s="76"/>
      <c r="R357" s="76"/>
      <c r="S357" s="76"/>
      <c r="T357" s="76"/>
      <c r="U357" s="76"/>
      <c r="V357" s="76"/>
      <c r="W357" s="76"/>
      <c r="X357" s="76"/>
      <c r="Y357" s="76"/>
      <c r="Z357" s="76"/>
      <c r="AA357" s="76"/>
      <c r="AB357" s="76"/>
    </row>
    <row r="358" spans="6:28">
      <c r="F358" s="76"/>
      <c r="G358" s="76"/>
      <c r="H358" s="76"/>
      <c r="I358" s="76"/>
      <c r="J358" s="76"/>
      <c r="K358" s="76"/>
      <c r="L358" s="76"/>
      <c r="M358" s="76"/>
      <c r="N358" s="76"/>
      <c r="O358" s="76"/>
      <c r="P358" s="76"/>
      <c r="Q358" s="76"/>
      <c r="R358" s="76"/>
      <c r="S358" s="76"/>
      <c r="T358" s="76"/>
      <c r="U358" s="76"/>
      <c r="V358" s="76"/>
      <c r="W358" s="76"/>
      <c r="X358" s="76"/>
      <c r="Y358" s="76"/>
      <c r="Z358" s="76"/>
      <c r="AA358" s="76"/>
      <c r="AB358" s="76"/>
    </row>
    <row r="359" spans="6:28">
      <c r="F359" s="76"/>
      <c r="G359" s="76"/>
      <c r="H359" s="76"/>
      <c r="I359" s="76"/>
      <c r="J359" s="76"/>
      <c r="K359" s="76"/>
      <c r="L359" s="76"/>
      <c r="M359" s="76"/>
      <c r="N359" s="76"/>
      <c r="O359" s="76"/>
      <c r="P359" s="76"/>
      <c r="Q359" s="76"/>
      <c r="R359" s="76"/>
      <c r="S359" s="76"/>
      <c r="T359" s="76"/>
      <c r="U359" s="76"/>
      <c r="V359" s="76"/>
      <c r="W359" s="76"/>
      <c r="X359" s="76"/>
      <c r="Y359" s="76"/>
      <c r="Z359" s="76"/>
      <c r="AA359" s="76"/>
      <c r="AB359" s="76"/>
    </row>
    <row r="360" spans="6:28">
      <c r="F360" s="76"/>
      <c r="G360" s="76"/>
      <c r="H360" s="76"/>
      <c r="I360" s="76"/>
      <c r="J360" s="76"/>
      <c r="K360" s="76"/>
      <c r="L360" s="76"/>
      <c r="M360" s="76"/>
      <c r="N360" s="76"/>
      <c r="O360" s="76"/>
      <c r="P360" s="76"/>
      <c r="Q360" s="76"/>
      <c r="R360" s="76"/>
      <c r="S360" s="76"/>
      <c r="T360" s="76"/>
      <c r="U360" s="76"/>
      <c r="V360" s="76"/>
      <c r="W360" s="76"/>
      <c r="X360" s="76"/>
      <c r="Y360" s="76"/>
      <c r="Z360" s="76"/>
      <c r="AA360" s="76"/>
      <c r="AB360" s="76"/>
    </row>
    <row r="361" spans="6:28">
      <c r="F361" s="76"/>
      <c r="G361" s="76"/>
      <c r="H361" s="76"/>
      <c r="I361" s="76"/>
      <c r="J361" s="76"/>
      <c r="K361" s="76"/>
      <c r="L361" s="76"/>
      <c r="M361" s="76"/>
      <c r="N361" s="76"/>
      <c r="O361" s="76"/>
      <c r="P361" s="76"/>
      <c r="Q361" s="76"/>
      <c r="R361" s="76"/>
      <c r="S361" s="76"/>
      <c r="T361" s="76"/>
      <c r="U361" s="76"/>
      <c r="V361" s="76"/>
      <c r="W361" s="76"/>
      <c r="X361" s="76"/>
      <c r="Y361" s="76"/>
      <c r="Z361" s="76"/>
      <c r="AA361" s="76"/>
      <c r="AB361" s="76"/>
    </row>
    <row r="362" spans="6:28">
      <c r="F362" s="76"/>
      <c r="G362" s="76"/>
      <c r="H362" s="76"/>
      <c r="I362" s="76"/>
      <c r="J362" s="76"/>
      <c r="K362" s="76"/>
      <c r="L362" s="76"/>
      <c r="M362" s="76"/>
      <c r="N362" s="76"/>
      <c r="O362" s="76"/>
      <c r="P362" s="76"/>
      <c r="Q362" s="76"/>
      <c r="R362" s="76"/>
      <c r="S362" s="76"/>
      <c r="T362" s="76"/>
      <c r="U362" s="76"/>
      <c r="V362" s="76"/>
      <c r="W362" s="76"/>
      <c r="X362" s="76"/>
      <c r="Y362" s="76"/>
      <c r="Z362" s="76"/>
      <c r="AA362" s="76"/>
      <c r="AB362" s="76"/>
    </row>
    <row r="363" spans="6:28">
      <c r="F363" s="76"/>
      <c r="G363" s="76"/>
      <c r="H363" s="76"/>
      <c r="I363" s="76"/>
      <c r="J363" s="76"/>
      <c r="K363" s="76"/>
      <c r="L363" s="76"/>
      <c r="M363" s="76"/>
      <c r="N363" s="76"/>
      <c r="O363" s="76"/>
      <c r="P363" s="76"/>
      <c r="Q363" s="76"/>
      <c r="R363" s="76"/>
      <c r="S363" s="76"/>
      <c r="T363" s="76"/>
      <c r="U363" s="76"/>
      <c r="V363" s="76"/>
      <c r="W363" s="76"/>
      <c r="X363" s="76"/>
      <c r="Y363" s="76"/>
      <c r="Z363" s="76"/>
      <c r="AA363" s="76"/>
      <c r="AB363" s="76"/>
    </row>
    <row r="364" spans="6:28">
      <c r="F364" s="76"/>
      <c r="G364" s="76"/>
      <c r="H364" s="76"/>
      <c r="I364" s="76"/>
      <c r="J364" s="76"/>
      <c r="K364" s="76"/>
      <c r="L364" s="76"/>
      <c r="M364" s="76"/>
      <c r="N364" s="76"/>
      <c r="O364" s="76"/>
      <c r="P364" s="76"/>
      <c r="Q364" s="76"/>
      <c r="R364" s="76"/>
      <c r="S364" s="76"/>
      <c r="T364" s="76"/>
      <c r="U364" s="76"/>
      <c r="V364" s="76"/>
      <c r="W364" s="76"/>
      <c r="X364" s="76"/>
      <c r="Y364" s="76"/>
      <c r="Z364" s="76"/>
      <c r="AA364" s="76"/>
      <c r="AB364" s="76"/>
    </row>
    <row r="365" spans="6:28">
      <c r="F365" s="76"/>
      <c r="G365" s="76"/>
      <c r="H365" s="76"/>
      <c r="I365" s="76"/>
      <c r="J365" s="76"/>
      <c r="K365" s="76"/>
      <c r="L365" s="76"/>
      <c r="M365" s="76"/>
      <c r="N365" s="76"/>
      <c r="O365" s="76"/>
      <c r="P365" s="76"/>
      <c r="Q365" s="76"/>
      <c r="R365" s="76"/>
      <c r="S365" s="76"/>
      <c r="T365" s="76"/>
      <c r="U365" s="76"/>
      <c r="V365" s="76"/>
      <c r="W365" s="76"/>
      <c r="X365" s="76"/>
      <c r="Y365" s="76"/>
      <c r="Z365" s="76"/>
      <c r="AA365" s="76"/>
      <c r="AB365" s="76"/>
    </row>
    <row r="366" spans="6:28">
      <c r="F366" s="76"/>
      <c r="G366" s="76"/>
      <c r="H366" s="76"/>
      <c r="I366" s="76"/>
      <c r="J366" s="76"/>
      <c r="K366" s="76"/>
      <c r="L366" s="76"/>
      <c r="M366" s="76"/>
      <c r="N366" s="76"/>
      <c r="O366" s="76"/>
      <c r="P366" s="76"/>
      <c r="Q366" s="76"/>
      <c r="R366" s="76"/>
      <c r="S366" s="76"/>
      <c r="T366" s="76"/>
      <c r="U366" s="76"/>
      <c r="V366" s="76"/>
      <c r="W366" s="76"/>
      <c r="X366" s="76"/>
      <c r="Y366" s="76"/>
      <c r="Z366" s="76"/>
      <c r="AA366" s="76"/>
      <c r="AB366" s="76"/>
    </row>
    <row r="367" spans="6:28">
      <c r="F367" s="76"/>
      <c r="G367" s="76"/>
      <c r="H367" s="76"/>
      <c r="I367" s="76"/>
      <c r="J367" s="76"/>
      <c r="K367" s="76"/>
      <c r="L367" s="76"/>
      <c r="M367" s="76"/>
      <c r="N367" s="76"/>
      <c r="O367" s="76"/>
      <c r="P367" s="76"/>
      <c r="Q367" s="76"/>
      <c r="R367" s="76"/>
      <c r="S367" s="76"/>
      <c r="T367" s="76"/>
      <c r="U367" s="76"/>
      <c r="V367" s="76"/>
      <c r="W367" s="76"/>
      <c r="X367" s="76"/>
      <c r="Y367" s="76"/>
      <c r="Z367" s="76"/>
      <c r="AA367" s="76"/>
      <c r="AB367" s="76"/>
    </row>
    <row r="368" spans="6:28">
      <c r="F368" s="76"/>
      <c r="G368" s="76"/>
      <c r="H368" s="76"/>
      <c r="I368" s="76"/>
      <c r="J368" s="76"/>
      <c r="K368" s="76"/>
      <c r="L368" s="76"/>
      <c r="M368" s="76"/>
      <c r="N368" s="76"/>
      <c r="O368" s="76"/>
      <c r="P368" s="76"/>
      <c r="Q368" s="76"/>
      <c r="R368" s="76"/>
      <c r="S368" s="76"/>
      <c r="T368" s="76"/>
      <c r="U368" s="76"/>
      <c r="V368" s="76"/>
      <c r="W368" s="76"/>
      <c r="X368" s="76"/>
      <c r="Y368" s="76"/>
      <c r="Z368" s="76"/>
      <c r="AA368" s="76"/>
      <c r="AB368" s="76"/>
    </row>
    <row r="369" spans="6:28">
      <c r="F369" s="76"/>
      <c r="G369" s="76"/>
      <c r="H369" s="76"/>
      <c r="I369" s="76"/>
      <c r="J369" s="76"/>
      <c r="K369" s="76"/>
      <c r="L369" s="76"/>
      <c r="M369" s="76"/>
      <c r="N369" s="76"/>
      <c r="O369" s="76"/>
      <c r="P369" s="76"/>
      <c r="Q369" s="76"/>
      <c r="R369" s="76"/>
      <c r="S369" s="76"/>
      <c r="T369" s="76"/>
      <c r="U369" s="76"/>
      <c r="V369" s="76"/>
      <c r="W369" s="76"/>
      <c r="X369" s="76"/>
      <c r="Y369" s="76"/>
      <c r="Z369" s="76"/>
      <c r="AA369" s="76"/>
      <c r="AB369" s="76"/>
    </row>
    <row r="370" spans="6:28">
      <c r="F370" s="76"/>
      <c r="G370" s="76"/>
      <c r="H370" s="76"/>
      <c r="I370" s="76"/>
      <c r="J370" s="76"/>
      <c r="K370" s="76"/>
      <c r="L370" s="76"/>
      <c r="M370" s="76"/>
      <c r="N370" s="76"/>
      <c r="O370" s="76"/>
      <c r="P370" s="76"/>
      <c r="Q370" s="76"/>
      <c r="R370" s="76"/>
      <c r="S370" s="76"/>
      <c r="T370" s="76"/>
      <c r="U370" s="76"/>
      <c r="V370" s="76"/>
      <c r="W370" s="76"/>
      <c r="X370" s="76"/>
      <c r="Y370" s="76"/>
      <c r="Z370" s="76"/>
      <c r="AA370" s="76"/>
      <c r="AB370" s="76"/>
    </row>
    <row r="371" spans="6:28">
      <c r="F371" s="76"/>
      <c r="G371" s="76"/>
      <c r="H371" s="76"/>
      <c r="I371" s="76"/>
      <c r="J371" s="76"/>
      <c r="K371" s="76"/>
      <c r="L371" s="76"/>
      <c r="M371" s="76"/>
      <c r="N371" s="76"/>
      <c r="O371" s="76"/>
      <c r="P371" s="76"/>
      <c r="Q371" s="76"/>
      <c r="R371" s="76"/>
      <c r="S371" s="76"/>
      <c r="T371" s="76"/>
      <c r="U371" s="76"/>
      <c r="V371" s="76"/>
      <c r="W371" s="76"/>
      <c r="X371" s="76"/>
      <c r="Y371" s="76"/>
      <c r="Z371" s="76"/>
      <c r="AA371" s="76"/>
      <c r="AB371" s="76"/>
    </row>
    <row r="372" spans="6:28">
      <c r="F372" s="76"/>
      <c r="G372" s="76"/>
      <c r="H372" s="76"/>
      <c r="I372" s="76"/>
      <c r="J372" s="76"/>
      <c r="K372" s="76"/>
      <c r="L372" s="76"/>
      <c r="M372" s="76"/>
      <c r="N372" s="76"/>
      <c r="O372" s="76"/>
      <c r="P372" s="76"/>
      <c r="Q372" s="76"/>
      <c r="R372" s="76"/>
      <c r="S372" s="76"/>
      <c r="T372" s="76"/>
      <c r="U372" s="76"/>
      <c r="V372" s="76"/>
      <c r="W372" s="76"/>
      <c r="X372" s="76"/>
      <c r="Y372" s="76"/>
      <c r="Z372" s="76"/>
      <c r="AA372" s="76"/>
      <c r="AB372" s="76"/>
    </row>
    <row r="373" spans="6:28">
      <c r="F373" s="76"/>
      <c r="G373" s="76"/>
      <c r="H373" s="76"/>
      <c r="I373" s="76"/>
      <c r="J373" s="76"/>
      <c r="K373" s="76"/>
      <c r="L373" s="76"/>
      <c r="M373" s="76"/>
      <c r="N373" s="76"/>
      <c r="O373" s="76"/>
      <c r="P373" s="76"/>
      <c r="Q373" s="76"/>
      <c r="R373" s="76"/>
      <c r="S373" s="76"/>
      <c r="T373" s="76"/>
      <c r="U373" s="76"/>
      <c r="V373" s="76"/>
      <c r="W373" s="76"/>
      <c r="X373" s="76"/>
      <c r="Y373" s="76"/>
      <c r="Z373" s="76"/>
      <c r="AA373" s="76"/>
      <c r="AB373" s="76"/>
    </row>
    <row r="374" spans="6:28">
      <c r="F374" s="76"/>
      <c r="G374" s="76"/>
      <c r="H374" s="76"/>
      <c r="I374" s="76"/>
      <c r="J374" s="76"/>
      <c r="K374" s="76"/>
      <c r="L374" s="76"/>
      <c r="M374" s="76"/>
      <c r="N374" s="76"/>
      <c r="O374" s="76"/>
      <c r="P374" s="76"/>
      <c r="Q374" s="76"/>
      <c r="R374" s="76"/>
      <c r="S374" s="76"/>
      <c r="T374" s="76"/>
      <c r="U374" s="76"/>
      <c r="V374" s="76"/>
      <c r="W374" s="76"/>
      <c r="X374" s="76"/>
      <c r="Y374" s="76"/>
      <c r="Z374" s="76"/>
      <c r="AA374" s="76"/>
      <c r="AB374" s="76"/>
    </row>
    <row r="375" spans="6:28">
      <c r="F375" s="76"/>
      <c r="G375" s="76"/>
      <c r="H375" s="76"/>
      <c r="I375" s="76"/>
      <c r="J375" s="76"/>
      <c r="K375" s="76"/>
      <c r="L375" s="76"/>
      <c r="M375" s="76"/>
      <c r="N375" s="76"/>
      <c r="O375" s="76"/>
      <c r="P375" s="76"/>
      <c r="Q375" s="76"/>
      <c r="R375" s="76"/>
      <c r="S375" s="76"/>
      <c r="T375" s="76"/>
      <c r="U375" s="76"/>
      <c r="V375" s="76"/>
      <c r="W375" s="76"/>
      <c r="X375" s="76"/>
      <c r="Y375" s="76"/>
      <c r="Z375" s="76"/>
      <c r="AA375" s="76"/>
      <c r="AB375" s="76"/>
    </row>
    <row r="376" spans="6:28">
      <c r="F376" s="76"/>
      <c r="G376" s="76"/>
      <c r="H376" s="76"/>
      <c r="I376" s="76"/>
      <c r="J376" s="76"/>
      <c r="K376" s="76"/>
      <c r="L376" s="76"/>
      <c r="M376" s="76"/>
      <c r="N376" s="76"/>
      <c r="O376" s="76"/>
      <c r="P376" s="76"/>
      <c r="Q376" s="76"/>
      <c r="R376" s="76"/>
      <c r="S376" s="76"/>
      <c r="T376" s="76"/>
      <c r="U376" s="76"/>
      <c r="V376" s="76"/>
      <c r="W376" s="76"/>
      <c r="X376" s="76"/>
      <c r="Y376" s="76"/>
      <c r="Z376" s="76"/>
      <c r="AA376" s="76"/>
      <c r="AB376" s="76"/>
    </row>
    <row r="377" spans="6:28">
      <c r="F377" s="76"/>
      <c r="G377" s="76"/>
      <c r="H377" s="76"/>
      <c r="I377" s="76"/>
      <c r="J377" s="76"/>
      <c r="K377" s="76"/>
      <c r="L377" s="76"/>
      <c r="M377" s="76"/>
      <c r="N377" s="76"/>
      <c r="O377" s="76"/>
      <c r="P377" s="76"/>
      <c r="Q377" s="76"/>
      <c r="R377" s="76"/>
      <c r="S377" s="76"/>
      <c r="T377" s="76"/>
      <c r="U377" s="76"/>
      <c r="V377" s="76"/>
      <c r="W377" s="76"/>
      <c r="X377" s="76"/>
      <c r="Y377" s="76"/>
      <c r="Z377" s="76"/>
      <c r="AA377" s="76"/>
      <c r="AB377" s="76"/>
    </row>
    <row r="378" spans="6:28">
      <c r="F378" s="76"/>
      <c r="G378" s="76"/>
      <c r="H378" s="76"/>
      <c r="I378" s="76"/>
      <c r="J378" s="76"/>
      <c r="K378" s="76"/>
      <c r="L378" s="76"/>
      <c r="M378" s="76"/>
      <c r="N378" s="76"/>
      <c r="O378" s="76"/>
      <c r="P378" s="76"/>
      <c r="Q378" s="76"/>
      <c r="R378" s="76"/>
      <c r="S378" s="76"/>
      <c r="T378" s="76"/>
      <c r="U378" s="76"/>
      <c r="V378" s="76"/>
      <c r="W378" s="76"/>
      <c r="X378" s="76"/>
      <c r="Y378" s="76"/>
      <c r="Z378" s="76"/>
      <c r="AA378" s="76"/>
      <c r="AB378" s="76"/>
    </row>
    <row r="379" spans="6:28">
      <c r="F379" s="76"/>
      <c r="G379" s="76"/>
      <c r="H379" s="76"/>
      <c r="I379" s="76"/>
      <c r="J379" s="76"/>
      <c r="K379" s="76"/>
      <c r="L379" s="76"/>
      <c r="M379" s="76"/>
      <c r="N379" s="76"/>
      <c r="O379" s="76"/>
      <c r="P379" s="76"/>
      <c r="Q379" s="76"/>
      <c r="R379" s="76"/>
      <c r="S379" s="76"/>
      <c r="T379" s="76"/>
      <c r="U379" s="76"/>
      <c r="V379" s="76"/>
      <c r="W379" s="76"/>
      <c r="X379" s="76"/>
      <c r="Y379" s="76"/>
      <c r="Z379" s="76"/>
      <c r="AA379" s="76"/>
      <c r="AB379" s="76"/>
    </row>
    <row r="380" spans="6:28">
      <c r="F380" s="76"/>
      <c r="G380" s="76"/>
      <c r="H380" s="76"/>
      <c r="I380" s="76"/>
      <c r="J380" s="76"/>
      <c r="K380" s="76"/>
      <c r="L380" s="76"/>
      <c r="M380" s="76"/>
      <c r="N380" s="76"/>
      <c r="O380" s="76"/>
      <c r="P380" s="76"/>
      <c r="Q380" s="76"/>
      <c r="R380" s="76"/>
      <c r="S380" s="76"/>
      <c r="T380" s="76"/>
      <c r="U380" s="76"/>
      <c r="V380" s="76"/>
      <c r="W380" s="76"/>
      <c r="X380" s="76"/>
      <c r="Y380" s="76"/>
      <c r="Z380" s="76"/>
      <c r="AA380" s="76"/>
      <c r="AB380" s="76"/>
    </row>
    <row r="381" spans="6:28">
      <c r="F381" s="76"/>
      <c r="G381" s="76"/>
      <c r="H381" s="76"/>
      <c r="I381" s="76"/>
      <c r="J381" s="76"/>
      <c r="K381" s="76"/>
      <c r="L381" s="76"/>
      <c r="M381" s="76"/>
      <c r="N381" s="76"/>
      <c r="O381" s="76"/>
      <c r="P381" s="76"/>
      <c r="Q381" s="76"/>
      <c r="R381" s="76"/>
      <c r="S381" s="76"/>
      <c r="T381" s="76"/>
      <c r="U381" s="76"/>
      <c r="V381" s="76"/>
      <c r="W381" s="76"/>
      <c r="X381" s="76"/>
      <c r="Y381" s="76"/>
      <c r="Z381" s="76"/>
      <c r="AA381" s="76"/>
      <c r="AB381" s="76"/>
    </row>
    <row r="382" spans="6:28">
      <c r="F382" s="76"/>
      <c r="G382" s="76"/>
      <c r="H382" s="76"/>
      <c r="I382" s="76"/>
      <c r="J382" s="76"/>
      <c r="K382" s="76"/>
      <c r="L382" s="76"/>
      <c r="M382" s="76"/>
      <c r="N382" s="76"/>
      <c r="O382" s="76"/>
      <c r="P382" s="76"/>
      <c r="Q382" s="76"/>
      <c r="R382" s="76"/>
      <c r="S382" s="76"/>
      <c r="T382" s="76"/>
      <c r="U382" s="76"/>
      <c r="V382" s="76"/>
      <c r="W382" s="76"/>
      <c r="X382" s="76"/>
      <c r="Y382" s="76"/>
      <c r="Z382" s="76"/>
      <c r="AA382" s="76"/>
      <c r="AB382" s="76"/>
    </row>
    <row r="383" spans="6:28">
      <c r="F383" s="76"/>
      <c r="G383" s="76"/>
      <c r="H383" s="76"/>
      <c r="I383" s="76"/>
      <c r="J383" s="76"/>
      <c r="K383" s="76"/>
      <c r="L383" s="76"/>
      <c r="M383" s="76"/>
      <c r="N383" s="76"/>
      <c r="O383" s="76"/>
      <c r="P383" s="76"/>
      <c r="Q383" s="76"/>
      <c r="R383" s="76"/>
      <c r="S383" s="76"/>
      <c r="T383" s="76"/>
      <c r="U383" s="76"/>
      <c r="V383" s="76"/>
      <c r="W383" s="76"/>
      <c r="X383" s="76"/>
      <c r="Y383" s="76"/>
      <c r="Z383" s="76"/>
      <c r="AA383" s="76"/>
      <c r="AB383" s="76"/>
    </row>
    <row r="384" spans="6:28">
      <c r="F384" s="76"/>
      <c r="G384" s="76"/>
      <c r="H384" s="76"/>
      <c r="I384" s="76"/>
      <c r="J384" s="76"/>
      <c r="K384" s="76"/>
      <c r="L384" s="76"/>
      <c r="M384" s="76"/>
      <c r="N384" s="76"/>
      <c r="O384" s="76"/>
      <c r="P384" s="76"/>
      <c r="Q384" s="76"/>
      <c r="R384" s="76"/>
      <c r="S384" s="76"/>
      <c r="T384" s="76"/>
      <c r="U384" s="76"/>
      <c r="V384" s="76"/>
      <c r="W384" s="76"/>
      <c r="X384" s="76"/>
      <c r="Y384" s="76"/>
      <c r="Z384" s="76"/>
      <c r="AA384" s="76"/>
      <c r="AB384" s="76"/>
    </row>
    <row r="385" spans="6:28">
      <c r="F385" s="76"/>
      <c r="G385" s="76"/>
      <c r="H385" s="76"/>
      <c r="I385" s="76"/>
      <c r="J385" s="76"/>
      <c r="K385" s="76"/>
      <c r="L385" s="76"/>
      <c r="M385" s="76"/>
      <c r="N385" s="76"/>
      <c r="O385" s="76"/>
      <c r="P385" s="76"/>
      <c r="Q385" s="76"/>
      <c r="R385" s="76"/>
      <c r="S385" s="76"/>
      <c r="T385" s="76"/>
      <c r="U385" s="76"/>
      <c r="V385" s="76"/>
      <c r="W385" s="76"/>
      <c r="X385" s="76"/>
      <c r="Y385" s="76"/>
      <c r="Z385" s="76"/>
      <c r="AA385" s="76"/>
      <c r="AB385" s="76"/>
    </row>
    <row r="386" spans="6:28">
      <c r="F386" s="76"/>
      <c r="G386" s="76"/>
      <c r="H386" s="76"/>
      <c r="I386" s="76"/>
      <c r="J386" s="76"/>
      <c r="K386" s="76"/>
      <c r="L386" s="76"/>
      <c r="M386" s="76"/>
      <c r="N386" s="76"/>
      <c r="O386" s="76"/>
      <c r="P386" s="76"/>
      <c r="Q386" s="76"/>
      <c r="R386" s="76"/>
      <c r="S386" s="76"/>
      <c r="T386" s="76"/>
      <c r="U386" s="76"/>
      <c r="V386" s="76"/>
      <c r="W386" s="76"/>
      <c r="X386" s="76"/>
      <c r="Y386" s="76"/>
      <c r="Z386" s="76"/>
      <c r="AA386" s="76"/>
      <c r="AB386" s="76"/>
    </row>
    <row r="387" spans="6:28">
      <c r="F387" s="76"/>
      <c r="G387" s="76"/>
      <c r="H387" s="76"/>
      <c r="I387" s="76"/>
      <c r="J387" s="76"/>
      <c r="K387" s="76"/>
      <c r="L387" s="76"/>
      <c r="M387" s="76"/>
      <c r="N387" s="76"/>
      <c r="O387" s="76"/>
      <c r="P387" s="76"/>
      <c r="Q387" s="76"/>
      <c r="R387" s="76"/>
      <c r="S387" s="76"/>
      <c r="T387" s="76"/>
      <c r="U387" s="76"/>
      <c r="V387" s="76"/>
      <c r="W387" s="76"/>
      <c r="X387" s="76"/>
      <c r="Y387" s="76"/>
      <c r="Z387" s="76"/>
      <c r="AA387" s="76"/>
      <c r="AB387" s="76"/>
    </row>
    <row r="388" spans="6:28">
      <c r="F388" s="76"/>
      <c r="G388" s="76"/>
      <c r="H388" s="76"/>
      <c r="I388" s="76"/>
      <c r="J388" s="76"/>
      <c r="K388" s="76"/>
      <c r="L388" s="76"/>
      <c r="M388" s="76"/>
      <c r="N388" s="76"/>
      <c r="O388" s="76"/>
      <c r="P388" s="76"/>
      <c r="Q388" s="76"/>
      <c r="R388" s="76"/>
      <c r="S388" s="76"/>
      <c r="T388" s="76"/>
      <c r="U388" s="76"/>
      <c r="V388" s="76"/>
      <c r="W388" s="76"/>
      <c r="X388" s="76"/>
      <c r="Y388" s="76"/>
      <c r="Z388" s="76"/>
      <c r="AA388" s="76"/>
      <c r="AB388" s="76"/>
    </row>
    <row r="389" spans="6:28">
      <c r="F389" s="76"/>
      <c r="G389" s="76"/>
      <c r="H389" s="76"/>
      <c r="I389" s="76"/>
      <c r="J389" s="76"/>
      <c r="K389" s="76"/>
      <c r="L389" s="76"/>
      <c r="M389" s="76"/>
      <c r="N389" s="76"/>
      <c r="O389" s="76"/>
      <c r="P389" s="76"/>
      <c r="Q389" s="76"/>
      <c r="R389" s="76"/>
      <c r="S389" s="76"/>
      <c r="T389" s="76"/>
      <c r="U389" s="76"/>
      <c r="V389" s="76"/>
      <c r="W389" s="76"/>
      <c r="X389" s="76"/>
      <c r="Y389" s="76"/>
      <c r="Z389" s="76"/>
      <c r="AA389" s="76"/>
      <c r="AB389" s="76"/>
    </row>
    <row r="390" spans="6:28">
      <c r="F390" s="76"/>
      <c r="G390" s="76"/>
      <c r="H390" s="76"/>
      <c r="I390" s="76"/>
      <c r="J390" s="76"/>
      <c r="K390" s="76"/>
      <c r="L390" s="76"/>
      <c r="M390" s="76"/>
      <c r="N390" s="76"/>
      <c r="O390" s="76"/>
      <c r="P390" s="76"/>
      <c r="Q390" s="76"/>
      <c r="R390" s="76"/>
      <c r="S390" s="76"/>
      <c r="T390" s="76"/>
      <c r="U390" s="76"/>
      <c r="V390" s="76"/>
      <c r="W390" s="76"/>
      <c r="X390" s="76"/>
      <c r="Y390" s="76"/>
      <c r="Z390" s="76"/>
      <c r="AA390" s="76"/>
      <c r="AB390" s="76"/>
    </row>
    <row r="391" spans="6:28">
      <c r="F391" s="76"/>
      <c r="G391" s="76"/>
      <c r="H391" s="76"/>
      <c r="I391" s="76"/>
      <c r="J391" s="76"/>
      <c r="K391" s="76"/>
      <c r="L391" s="76"/>
      <c r="M391" s="76"/>
      <c r="N391" s="76"/>
      <c r="O391" s="76"/>
      <c r="P391" s="76"/>
      <c r="Q391" s="76"/>
      <c r="R391" s="76"/>
      <c r="S391" s="76"/>
      <c r="T391" s="76"/>
      <c r="U391" s="76"/>
      <c r="V391" s="76"/>
      <c r="W391" s="76"/>
      <c r="X391" s="76"/>
      <c r="Y391" s="76"/>
      <c r="Z391" s="76"/>
      <c r="AA391" s="76"/>
      <c r="AB391" s="76"/>
    </row>
    <row r="392" spans="6:28">
      <c r="F392" s="76"/>
      <c r="G392" s="76"/>
      <c r="H392" s="76"/>
      <c r="I392" s="76"/>
      <c r="J392" s="76"/>
      <c r="K392" s="76"/>
      <c r="L392" s="76"/>
      <c r="M392" s="76"/>
      <c r="N392" s="76"/>
      <c r="O392" s="76"/>
      <c r="P392" s="76"/>
      <c r="Q392" s="76"/>
      <c r="R392" s="76"/>
      <c r="S392" s="76"/>
      <c r="T392" s="76"/>
      <c r="U392" s="76"/>
      <c r="V392" s="76"/>
      <c r="W392" s="76"/>
      <c r="X392" s="76"/>
      <c r="Y392" s="76"/>
      <c r="Z392" s="76"/>
      <c r="AA392" s="76"/>
      <c r="AB392" s="76"/>
    </row>
    <row r="393" spans="6:28">
      <c r="F393" s="76"/>
      <c r="G393" s="76"/>
      <c r="H393" s="76"/>
      <c r="I393" s="76"/>
      <c r="J393" s="76"/>
      <c r="K393" s="76"/>
      <c r="L393" s="76"/>
      <c r="M393" s="76"/>
      <c r="N393" s="76"/>
      <c r="O393" s="76"/>
      <c r="P393" s="76"/>
      <c r="Q393" s="76"/>
      <c r="R393" s="76"/>
      <c r="S393" s="76"/>
      <c r="T393" s="76"/>
      <c r="U393" s="76"/>
      <c r="V393" s="76"/>
      <c r="W393" s="76"/>
      <c r="X393" s="76"/>
      <c r="Y393" s="76"/>
      <c r="Z393" s="76"/>
      <c r="AA393" s="76"/>
      <c r="AB393" s="76"/>
    </row>
    <row r="394" spans="6:28">
      <c r="F394" s="76"/>
      <c r="G394" s="76"/>
      <c r="H394" s="76"/>
      <c r="I394" s="76"/>
      <c r="J394" s="76"/>
      <c r="K394" s="76"/>
      <c r="L394" s="76"/>
      <c r="M394" s="76"/>
      <c r="N394" s="76"/>
      <c r="O394" s="76"/>
      <c r="P394" s="76"/>
      <c r="Q394" s="76"/>
      <c r="R394" s="76"/>
      <c r="S394" s="76"/>
      <c r="T394" s="76"/>
      <c r="U394" s="76"/>
      <c r="V394" s="76"/>
      <c r="W394" s="76"/>
      <c r="X394" s="76"/>
      <c r="Y394" s="76"/>
      <c r="Z394" s="76"/>
      <c r="AA394" s="76"/>
      <c r="AB394" s="76"/>
    </row>
    <row r="395" spans="6:28">
      <c r="F395" s="76"/>
      <c r="G395" s="76"/>
      <c r="H395" s="76"/>
      <c r="I395" s="76"/>
      <c r="J395" s="76"/>
      <c r="K395" s="76"/>
      <c r="L395" s="76"/>
      <c r="M395" s="76"/>
      <c r="N395" s="76"/>
      <c r="O395" s="76"/>
      <c r="P395" s="76"/>
      <c r="Q395" s="76"/>
      <c r="R395" s="76"/>
      <c r="S395" s="76"/>
      <c r="T395" s="76"/>
      <c r="U395" s="76"/>
      <c r="V395" s="76"/>
      <c r="W395" s="76"/>
      <c r="X395" s="76"/>
      <c r="Y395" s="76"/>
      <c r="Z395" s="76"/>
      <c r="AA395" s="76"/>
      <c r="AB395" s="76"/>
    </row>
    <row r="396" spans="6:28">
      <c r="F396" s="76"/>
      <c r="G396" s="76"/>
      <c r="H396" s="76"/>
      <c r="I396" s="76"/>
      <c r="J396" s="76"/>
      <c r="K396" s="76"/>
      <c r="L396" s="76"/>
      <c r="M396" s="76"/>
      <c r="N396" s="76"/>
      <c r="O396" s="76"/>
      <c r="P396" s="76"/>
      <c r="Q396" s="76"/>
      <c r="R396" s="76"/>
      <c r="S396" s="76"/>
      <c r="T396" s="76"/>
      <c r="U396" s="76"/>
      <c r="V396" s="76"/>
      <c r="W396" s="76"/>
      <c r="X396" s="76"/>
      <c r="Y396" s="76"/>
      <c r="Z396" s="76"/>
      <c r="AA396" s="76"/>
      <c r="AB396" s="76"/>
    </row>
    <row r="397" spans="6:28">
      <c r="F397" s="76"/>
      <c r="G397" s="76"/>
      <c r="H397" s="76"/>
      <c r="I397" s="76"/>
      <c r="J397" s="76"/>
      <c r="K397" s="76"/>
      <c r="L397" s="76"/>
      <c r="M397" s="76"/>
      <c r="N397" s="76"/>
      <c r="O397" s="76"/>
      <c r="P397" s="76"/>
      <c r="Q397" s="76"/>
      <c r="R397" s="76"/>
      <c r="S397" s="76"/>
      <c r="T397" s="76"/>
      <c r="U397" s="76"/>
      <c r="V397" s="76"/>
      <c r="W397" s="76"/>
      <c r="X397" s="76"/>
      <c r="Y397" s="76"/>
      <c r="Z397" s="76"/>
      <c r="AA397" s="76"/>
      <c r="AB397" s="76"/>
    </row>
    <row r="398" spans="6:28">
      <c r="F398" s="76"/>
      <c r="G398" s="76"/>
      <c r="H398" s="76"/>
      <c r="I398" s="76"/>
      <c r="J398" s="76"/>
      <c r="K398" s="76"/>
      <c r="L398" s="76"/>
      <c r="M398" s="76"/>
      <c r="N398" s="76"/>
      <c r="O398" s="76"/>
      <c r="P398" s="76"/>
      <c r="Q398" s="76"/>
      <c r="R398" s="76"/>
      <c r="S398" s="76"/>
      <c r="T398" s="76"/>
      <c r="U398" s="76"/>
      <c r="V398" s="76"/>
      <c r="W398" s="76"/>
      <c r="X398" s="76"/>
      <c r="Y398" s="76"/>
      <c r="Z398" s="76"/>
      <c r="AA398" s="76"/>
      <c r="AB398" s="76"/>
    </row>
    <row r="399" spans="6:28">
      <c r="F399" s="76"/>
      <c r="G399" s="76"/>
      <c r="H399" s="76"/>
      <c r="I399" s="76"/>
      <c r="J399" s="76"/>
      <c r="K399" s="76"/>
      <c r="L399" s="76"/>
      <c r="M399" s="76"/>
      <c r="N399" s="76"/>
      <c r="O399" s="76"/>
      <c r="P399" s="76"/>
      <c r="Q399" s="76"/>
      <c r="R399" s="76"/>
      <c r="S399" s="76"/>
      <c r="T399" s="76"/>
      <c r="U399" s="76"/>
      <c r="V399" s="76"/>
      <c r="W399" s="76"/>
      <c r="X399" s="76"/>
      <c r="Y399" s="76"/>
      <c r="Z399" s="76"/>
      <c r="AA399" s="76"/>
      <c r="AB399" s="76"/>
    </row>
    <row r="400" spans="6:28">
      <c r="F400" s="76"/>
      <c r="G400" s="76"/>
      <c r="H400" s="76"/>
      <c r="I400" s="76"/>
      <c r="J400" s="76"/>
      <c r="K400" s="76"/>
      <c r="L400" s="76"/>
      <c r="M400" s="76"/>
      <c r="N400" s="76"/>
      <c r="O400" s="76"/>
      <c r="P400" s="76"/>
      <c r="Q400" s="76"/>
      <c r="R400" s="76"/>
      <c r="S400" s="76"/>
      <c r="T400" s="76"/>
      <c r="U400" s="76"/>
      <c r="V400" s="76"/>
      <c r="W400" s="76"/>
      <c r="X400" s="76"/>
      <c r="Y400" s="76"/>
      <c r="Z400" s="76"/>
      <c r="AA400" s="76"/>
      <c r="AB400" s="76"/>
    </row>
    <row r="401" spans="6:28">
      <c r="F401" s="76"/>
      <c r="G401" s="76"/>
      <c r="H401" s="76"/>
      <c r="I401" s="76"/>
      <c r="J401" s="76"/>
      <c r="K401" s="76"/>
      <c r="L401" s="76"/>
      <c r="M401" s="76"/>
      <c r="N401" s="76"/>
      <c r="O401" s="76"/>
      <c r="P401" s="76"/>
      <c r="Q401" s="76"/>
      <c r="R401" s="76"/>
      <c r="S401" s="76"/>
      <c r="T401" s="76"/>
      <c r="U401" s="76"/>
      <c r="V401" s="76"/>
      <c r="W401" s="76"/>
      <c r="X401" s="76"/>
      <c r="Y401" s="76"/>
      <c r="Z401" s="76"/>
      <c r="AA401" s="76"/>
      <c r="AB401" s="76"/>
    </row>
    <row r="402" spans="6:28">
      <c r="F402" s="76"/>
      <c r="G402" s="76"/>
      <c r="H402" s="76"/>
      <c r="I402" s="76"/>
      <c r="J402" s="76"/>
      <c r="K402" s="76"/>
      <c r="L402" s="76"/>
      <c r="M402" s="76"/>
      <c r="N402" s="76"/>
      <c r="O402" s="76"/>
      <c r="P402" s="76"/>
      <c r="Q402" s="76"/>
      <c r="R402" s="76"/>
      <c r="S402" s="76"/>
      <c r="T402" s="76"/>
      <c r="U402" s="76"/>
      <c r="V402" s="76"/>
      <c r="W402" s="76"/>
      <c r="X402" s="76"/>
      <c r="Y402" s="76"/>
      <c r="Z402" s="76"/>
      <c r="AA402" s="76"/>
      <c r="AB402" s="76"/>
    </row>
    <row r="403" spans="6:28">
      <c r="F403" s="76"/>
      <c r="G403" s="76"/>
      <c r="H403" s="76"/>
      <c r="I403" s="76"/>
      <c r="J403" s="76"/>
      <c r="K403" s="76"/>
      <c r="L403" s="76"/>
      <c r="M403" s="76"/>
      <c r="N403" s="76"/>
      <c r="O403" s="76"/>
      <c r="P403" s="76"/>
      <c r="Q403" s="76"/>
      <c r="R403" s="76"/>
      <c r="S403" s="76"/>
      <c r="T403" s="76"/>
      <c r="U403" s="76"/>
      <c r="V403" s="76"/>
      <c r="W403" s="76"/>
      <c r="X403" s="76"/>
      <c r="Y403" s="76"/>
      <c r="Z403" s="76"/>
      <c r="AA403" s="76"/>
      <c r="AB403" s="76"/>
    </row>
    <row r="404" spans="6:28">
      <c r="F404" s="76"/>
      <c r="G404" s="76"/>
      <c r="H404" s="76"/>
      <c r="I404" s="76"/>
      <c r="J404" s="76"/>
      <c r="K404" s="76"/>
      <c r="L404" s="76"/>
      <c r="M404" s="76"/>
      <c r="N404" s="76"/>
      <c r="O404" s="76"/>
      <c r="P404" s="76"/>
      <c r="Q404" s="76"/>
      <c r="R404" s="76"/>
      <c r="S404" s="76"/>
      <c r="T404" s="76"/>
      <c r="U404" s="76"/>
      <c r="V404" s="76"/>
      <c r="W404" s="76"/>
      <c r="X404" s="76"/>
      <c r="Y404" s="76"/>
      <c r="Z404" s="76"/>
      <c r="AA404" s="76"/>
      <c r="AB404" s="76"/>
    </row>
    <row r="405" spans="6:28">
      <c r="F405" s="76"/>
      <c r="G405" s="76"/>
      <c r="H405" s="76"/>
      <c r="I405" s="76"/>
      <c r="J405" s="76"/>
      <c r="K405" s="76"/>
      <c r="L405" s="76"/>
      <c r="M405" s="76"/>
      <c r="N405" s="76"/>
      <c r="O405" s="76"/>
      <c r="P405" s="76"/>
      <c r="Q405" s="76"/>
      <c r="R405" s="76"/>
      <c r="S405" s="76"/>
      <c r="T405" s="76"/>
      <c r="U405" s="76"/>
      <c r="V405" s="76"/>
      <c r="W405" s="76"/>
      <c r="X405" s="76"/>
      <c r="Y405" s="76"/>
      <c r="Z405" s="76"/>
      <c r="AA405" s="76"/>
      <c r="AB405" s="76"/>
    </row>
    <row r="406" spans="6:28">
      <c r="F406" s="76"/>
      <c r="G406" s="76"/>
      <c r="H406" s="76"/>
      <c r="I406" s="76"/>
      <c r="J406" s="76"/>
      <c r="K406" s="76"/>
      <c r="L406" s="76"/>
      <c r="M406" s="76"/>
      <c r="N406" s="76"/>
      <c r="O406" s="76"/>
      <c r="P406" s="76"/>
      <c r="Q406" s="76"/>
      <c r="R406" s="76"/>
      <c r="S406" s="76"/>
      <c r="T406" s="76"/>
      <c r="U406" s="76"/>
      <c r="V406" s="76"/>
      <c r="W406" s="76"/>
      <c r="X406" s="76"/>
      <c r="Y406" s="76"/>
      <c r="Z406" s="76"/>
      <c r="AA406" s="76"/>
      <c r="AB406" s="76"/>
    </row>
    <row r="407" spans="6:28">
      <c r="F407" s="76"/>
      <c r="G407" s="76"/>
      <c r="H407" s="76"/>
      <c r="I407" s="76"/>
      <c r="J407" s="76"/>
      <c r="K407" s="76"/>
      <c r="L407" s="76"/>
      <c r="M407" s="76"/>
      <c r="N407" s="76"/>
      <c r="O407" s="76"/>
      <c r="P407" s="76"/>
      <c r="Q407" s="76"/>
      <c r="R407" s="76"/>
      <c r="S407" s="76"/>
      <c r="T407" s="76"/>
      <c r="U407" s="76"/>
      <c r="V407" s="76"/>
      <c r="W407" s="76"/>
      <c r="X407" s="76"/>
      <c r="Y407" s="76"/>
      <c r="Z407" s="76"/>
      <c r="AA407" s="76"/>
      <c r="AB407" s="76"/>
    </row>
    <row r="408" spans="6:28">
      <c r="F408" s="76"/>
      <c r="G408" s="76"/>
      <c r="H408" s="76"/>
      <c r="I408" s="76"/>
      <c r="J408" s="76"/>
      <c r="K408" s="76"/>
      <c r="L408" s="76"/>
      <c r="M408" s="76"/>
      <c r="N408" s="76"/>
      <c r="O408" s="76"/>
      <c r="P408" s="76"/>
      <c r="Q408" s="76"/>
      <c r="R408" s="76"/>
      <c r="S408" s="76"/>
      <c r="T408" s="76"/>
      <c r="U408" s="76"/>
      <c r="V408" s="76"/>
      <c r="W408" s="76"/>
      <c r="X408" s="76"/>
      <c r="Y408" s="76"/>
      <c r="Z408" s="76"/>
      <c r="AA408" s="76"/>
      <c r="AB408" s="76"/>
    </row>
    <row r="409" spans="6:28">
      <c r="F409" s="76"/>
      <c r="G409" s="76"/>
      <c r="H409" s="76"/>
      <c r="I409" s="76"/>
      <c r="J409" s="76"/>
      <c r="K409" s="76"/>
      <c r="L409" s="76"/>
      <c r="M409" s="76"/>
      <c r="N409" s="76"/>
      <c r="O409" s="76"/>
      <c r="P409" s="76"/>
      <c r="Q409" s="76"/>
      <c r="R409" s="76"/>
      <c r="S409" s="76"/>
      <c r="T409" s="76"/>
      <c r="U409" s="76"/>
      <c r="V409" s="76"/>
      <c r="W409" s="76"/>
      <c r="X409" s="76"/>
      <c r="Y409" s="76"/>
      <c r="Z409" s="76"/>
      <c r="AA409" s="76"/>
      <c r="AB409" s="76"/>
    </row>
    <row r="410" spans="6:28">
      <c r="F410" s="76"/>
      <c r="G410" s="76"/>
      <c r="H410" s="76"/>
      <c r="I410" s="76"/>
      <c r="J410" s="76"/>
      <c r="K410" s="76"/>
      <c r="L410" s="76"/>
      <c r="M410" s="76"/>
      <c r="N410" s="76"/>
      <c r="O410" s="76"/>
      <c r="P410" s="76"/>
      <c r="Q410" s="76"/>
      <c r="R410" s="76"/>
      <c r="S410" s="76"/>
      <c r="T410" s="76"/>
      <c r="U410" s="76"/>
      <c r="V410" s="76"/>
      <c r="W410" s="76"/>
      <c r="X410" s="76"/>
      <c r="Y410" s="76"/>
      <c r="Z410" s="76"/>
      <c r="AA410" s="76"/>
      <c r="AB410" s="76"/>
    </row>
    <row r="411" spans="6:28">
      <c r="F411" s="76"/>
      <c r="G411" s="76"/>
      <c r="H411" s="76"/>
      <c r="I411" s="76"/>
      <c r="J411" s="76"/>
      <c r="K411" s="76"/>
      <c r="L411" s="76"/>
      <c r="M411" s="76"/>
      <c r="N411" s="76"/>
      <c r="O411" s="76"/>
      <c r="P411" s="76"/>
      <c r="Q411" s="76"/>
      <c r="R411" s="76"/>
      <c r="S411" s="76"/>
      <c r="T411" s="76"/>
      <c r="U411" s="76"/>
      <c r="V411" s="76"/>
      <c r="W411" s="76"/>
      <c r="X411" s="76"/>
      <c r="Y411" s="76"/>
      <c r="Z411" s="76"/>
      <c r="AA411" s="76"/>
      <c r="AB411" s="76"/>
    </row>
    <row r="412" spans="6:28">
      <c r="F412" s="76"/>
      <c r="G412" s="76"/>
      <c r="H412" s="76"/>
      <c r="I412" s="76"/>
      <c r="J412" s="76"/>
      <c r="K412" s="76"/>
      <c r="L412" s="76"/>
      <c r="M412" s="76"/>
      <c r="N412" s="76"/>
      <c r="O412" s="76"/>
      <c r="P412" s="76"/>
      <c r="Q412" s="76"/>
      <c r="R412" s="76"/>
      <c r="S412" s="76"/>
      <c r="T412" s="76"/>
      <c r="U412" s="76"/>
      <c r="V412" s="76"/>
      <c r="W412" s="76"/>
      <c r="X412" s="76"/>
      <c r="Y412" s="76"/>
      <c r="Z412" s="76"/>
      <c r="AA412" s="76"/>
      <c r="AB412" s="76"/>
    </row>
    <row r="413" spans="6:28">
      <c r="F413" s="76"/>
      <c r="G413" s="76"/>
      <c r="H413" s="76"/>
      <c r="I413" s="76"/>
      <c r="J413" s="76"/>
      <c r="K413" s="76"/>
      <c r="L413" s="76"/>
      <c r="M413" s="76"/>
      <c r="N413" s="76"/>
      <c r="O413" s="76"/>
      <c r="P413" s="76"/>
      <c r="Q413" s="76"/>
      <c r="R413" s="76"/>
      <c r="S413" s="76"/>
      <c r="T413" s="76"/>
      <c r="U413" s="76"/>
      <c r="V413" s="76"/>
      <c r="W413" s="76"/>
      <c r="X413" s="76"/>
      <c r="Y413" s="76"/>
      <c r="Z413" s="76"/>
      <c r="AA413" s="76"/>
      <c r="AB413" s="76"/>
    </row>
    <row r="414" spans="6:28">
      <c r="F414" s="76"/>
      <c r="G414" s="76"/>
      <c r="H414" s="76"/>
      <c r="I414" s="76"/>
      <c r="J414" s="76"/>
      <c r="K414" s="76"/>
      <c r="L414" s="76"/>
      <c r="M414" s="76"/>
      <c r="N414" s="76"/>
      <c r="O414" s="76"/>
      <c r="P414" s="76"/>
      <c r="Q414" s="76"/>
      <c r="R414" s="76"/>
      <c r="S414" s="76"/>
      <c r="T414" s="76"/>
      <c r="U414" s="76"/>
      <c r="V414" s="76"/>
      <c r="W414" s="76"/>
      <c r="X414" s="76"/>
      <c r="Y414" s="76"/>
      <c r="Z414" s="76"/>
      <c r="AA414" s="76"/>
      <c r="AB414" s="76"/>
    </row>
    <row r="415" spans="6:28">
      <c r="F415" s="76"/>
      <c r="G415" s="76"/>
      <c r="H415" s="76"/>
      <c r="I415" s="76"/>
      <c r="J415" s="76"/>
      <c r="K415" s="76"/>
      <c r="L415" s="76"/>
      <c r="M415" s="76"/>
      <c r="N415" s="76"/>
      <c r="O415" s="76"/>
      <c r="P415" s="76"/>
      <c r="Q415" s="76"/>
      <c r="R415" s="76"/>
      <c r="S415" s="76"/>
      <c r="T415" s="76"/>
      <c r="U415" s="76"/>
      <c r="V415" s="76"/>
      <c r="W415" s="76"/>
      <c r="X415" s="76"/>
      <c r="Y415" s="76"/>
      <c r="Z415" s="76"/>
      <c r="AA415" s="76"/>
      <c r="AB415" s="76"/>
    </row>
    <row r="416" spans="6:28">
      <c r="F416" s="76"/>
      <c r="G416" s="76"/>
      <c r="H416" s="76"/>
      <c r="I416" s="76"/>
      <c r="J416" s="76"/>
      <c r="K416" s="76"/>
      <c r="L416" s="76"/>
      <c r="M416" s="76"/>
      <c r="N416" s="76"/>
      <c r="O416" s="76"/>
      <c r="P416" s="76"/>
      <c r="Q416" s="76"/>
      <c r="R416" s="76"/>
      <c r="S416" s="76"/>
      <c r="T416" s="76"/>
      <c r="U416" s="76"/>
      <c r="V416" s="76"/>
      <c r="W416" s="76"/>
      <c r="X416" s="76"/>
      <c r="Y416" s="76"/>
      <c r="Z416" s="76"/>
      <c r="AA416" s="76"/>
      <c r="AB416" s="76"/>
    </row>
    <row r="417" spans="6:28">
      <c r="F417" s="76"/>
      <c r="G417" s="76"/>
      <c r="H417" s="76"/>
      <c r="I417" s="76"/>
      <c r="J417" s="76"/>
      <c r="K417" s="76"/>
      <c r="L417" s="76"/>
      <c r="M417" s="76"/>
      <c r="N417" s="76"/>
      <c r="O417" s="76"/>
      <c r="P417" s="76"/>
      <c r="Q417" s="76"/>
      <c r="R417" s="76"/>
      <c r="S417" s="76"/>
      <c r="T417" s="76"/>
      <c r="U417" s="76"/>
      <c r="V417" s="76"/>
      <c r="W417" s="76"/>
      <c r="X417" s="76"/>
      <c r="Y417" s="76"/>
      <c r="Z417" s="76"/>
      <c r="AA417" s="76"/>
      <c r="AB417" s="76"/>
    </row>
    <row r="418" spans="6:28">
      <c r="F418" s="76"/>
      <c r="G418" s="76"/>
      <c r="H418" s="76"/>
      <c r="I418" s="76"/>
      <c r="J418" s="76"/>
      <c r="K418" s="76"/>
      <c r="L418" s="76"/>
      <c r="M418" s="76"/>
      <c r="N418" s="76"/>
      <c r="O418" s="76"/>
      <c r="P418" s="76"/>
      <c r="Q418" s="76"/>
      <c r="R418" s="76"/>
      <c r="S418" s="76"/>
      <c r="T418" s="76"/>
      <c r="U418" s="76"/>
      <c r="V418" s="76"/>
      <c r="W418" s="76"/>
      <c r="X418" s="76"/>
      <c r="Y418" s="76"/>
      <c r="Z418" s="76"/>
      <c r="AA418" s="76"/>
      <c r="AB418" s="76"/>
    </row>
    <row r="419" spans="6:28">
      <c r="F419" s="76"/>
      <c r="G419" s="76"/>
      <c r="H419" s="76"/>
      <c r="I419" s="76"/>
      <c r="J419" s="76"/>
      <c r="K419" s="76"/>
      <c r="L419" s="76"/>
      <c r="M419" s="76"/>
      <c r="N419" s="76"/>
      <c r="O419" s="76"/>
      <c r="P419" s="76"/>
      <c r="Q419" s="76"/>
      <c r="R419" s="76"/>
      <c r="S419" s="76"/>
      <c r="T419" s="76"/>
      <c r="U419" s="76"/>
      <c r="V419" s="76"/>
      <c r="W419" s="76"/>
      <c r="X419" s="76"/>
      <c r="Y419" s="76"/>
      <c r="Z419" s="76"/>
      <c r="AA419" s="76"/>
      <c r="AB419" s="76"/>
    </row>
    <row r="420" spans="6:28">
      <c r="F420" s="76"/>
      <c r="G420" s="76"/>
      <c r="H420" s="76"/>
      <c r="I420" s="76"/>
      <c r="J420" s="76"/>
      <c r="K420" s="76"/>
      <c r="L420" s="76"/>
      <c r="M420" s="76"/>
      <c r="N420" s="76"/>
      <c r="O420" s="76"/>
      <c r="P420" s="76"/>
      <c r="Q420" s="76"/>
      <c r="R420" s="76"/>
      <c r="S420" s="76"/>
      <c r="T420" s="76"/>
      <c r="U420" s="76"/>
      <c r="V420" s="76"/>
      <c r="W420" s="76"/>
      <c r="X420" s="76"/>
      <c r="Y420" s="76"/>
      <c r="Z420" s="76"/>
      <c r="AA420" s="76"/>
      <c r="AB420" s="76"/>
    </row>
    <row r="421" spans="6:28">
      <c r="F421" s="76"/>
      <c r="G421" s="76"/>
      <c r="H421" s="76"/>
      <c r="I421" s="76"/>
      <c r="J421" s="76"/>
      <c r="K421" s="76"/>
      <c r="L421" s="76"/>
      <c r="M421" s="76"/>
      <c r="N421" s="76"/>
      <c r="O421" s="76"/>
      <c r="P421" s="76"/>
      <c r="Q421" s="76"/>
      <c r="R421" s="76"/>
      <c r="S421" s="76"/>
      <c r="T421" s="76"/>
      <c r="U421" s="76"/>
      <c r="V421" s="76"/>
      <c r="W421" s="76"/>
      <c r="X421" s="76"/>
      <c r="Y421" s="76"/>
      <c r="Z421" s="76"/>
      <c r="AA421" s="76"/>
      <c r="AB421" s="76"/>
    </row>
    <row r="422" spans="6:28">
      <c r="F422" s="76"/>
      <c r="G422" s="76"/>
      <c r="H422" s="76"/>
      <c r="I422" s="76"/>
      <c r="J422" s="76"/>
      <c r="K422" s="76"/>
      <c r="L422" s="76"/>
      <c r="M422" s="76"/>
      <c r="N422" s="76"/>
      <c r="O422" s="76"/>
      <c r="P422" s="76"/>
      <c r="Q422" s="76"/>
      <c r="R422" s="76"/>
      <c r="S422" s="76"/>
      <c r="T422" s="76"/>
      <c r="U422" s="76"/>
      <c r="V422" s="76"/>
      <c r="W422" s="76"/>
      <c r="X422" s="76"/>
      <c r="Y422" s="76"/>
      <c r="Z422" s="76"/>
      <c r="AA422" s="76"/>
      <c r="AB422" s="76"/>
    </row>
    <row r="423" spans="6:28">
      <c r="F423" s="76"/>
      <c r="G423" s="76"/>
      <c r="H423" s="76"/>
      <c r="I423" s="76"/>
      <c r="J423" s="76"/>
      <c r="K423" s="76"/>
      <c r="L423" s="76"/>
      <c r="M423" s="76"/>
      <c r="N423" s="76"/>
      <c r="O423" s="76"/>
      <c r="P423" s="76"/>
      <c r="Q423" s="76"/>
      <c r="R423" s="76"/>
      <c r="S423" s="76"/>
      <c r="T423" s="76"/>
      <c r="U423" s="76"/>
      <c r="V423" s="76"/>
      <c r="W423" s="76"/>
      <c r="X423" s="76"/>
      <c r="Y423" s="76"/>
      <c r="Z423" s="76"/>
      <c r="AA423" s="76"/>
      <c r="AB423" s="76"/>
    </row>
    <row r="424" spans="6:28">
      <c r="F424" s="76"/>
      <c r="G424" s="76"/>
      <c r="H424" s="76"/>
      <c r="I424" s="76"/>
      <c r="J424" s="76"/>
      <c r="K424" s="76"/>
      <c r="L424" s="76"/>
      <c r="M424" s="76"/>
      <c r="N424" s="76"/>
      <c r="O424" s="76"/>
      <c r="P424" s="76"/>
      <c r="Q424" s="76"/>
      <c r="R424" s="76"/>
      <c r="S424" s="76"/>
      <c r="T424" s="76"/>
      <c r="U424" s="76"/>
      <c r="V424" s="76"/>
      <c r="W424" s="76"/>
      <c r="X424" s="76"/>
      <c r="Y424" s="76"/>
      <c r="Z424" s="76"/>
      <c r="AA424" s="76"/>
      <c r="AB424" s="76"/>
    </row>
    <row r="425" spans="6:28">
      <c r="F425" s="76"/>
      <c r="G425" s="76"/>
      <c r="H425" s="76"/>
      <c r="I425" s="76"/>
      <c r="J425" s="76"/>
      <c r="K425" s="76"/>
      <c r="L425" s="76"/>
      <c r="M425" s="76"/>
      <c r="N425" s="76"/>
      <c r="O425" s="76"/>
      <c r="P425" s="76"/>
      <c r="Q425" s="76"/>
      <c r="R425" s="76"/>
      <c r="S425" s="76"/>
      <c r="T425" s="76"/>
      <c r="U425" s="76"/>
      <c r="V425" s="76"/>
      <c r="W425" s="76"/>
      <c r="X425" s="76"/>
      <c r="Y425" s="76"/>
      <c r="Z425" s="76"/>
      <c r="AA425" s="76"/>
      <c r="AB425" s="76"/>
    </row>
    <row r="426" spans="6:28">
      <c r="F426" s="76"/>
      <c r="G426" s="76"/>
      <c r="H426" s="76"/>
      <c r="I426" s="76"/>
      <c r="J426" s="76"/>
      <c r="K426" s="76"/>
      <c r="L426" s="76"/>
      <c r="M426" s="76"/>
      <c r="N426" s="76"/>
      <c r="O426" s="76"/>
      <c r="P426" s="76"/>
      <c r="Q426" s="76"/>
      <c r="R426" s="76"/>
      <c r="S426" s="76"/>
      <c r="T426" s="76"/>
      <c r="U426" s="76"/>
      <c r="V426" s="76"/>
      <c r="W426" s="76"/>
      <c r="X426" s="76"/>
      <c r="Y426" s="76"/>
      <c r="Z426" s="76"/>
      <c r="AA426" s="76"/>
      <c r="AB426" s="76"/>
    </row>
    <row r="427" spans="6:28">
      <c r="F427" s="76"/>
      <c r="G427" s="76"/>
      <c r="H427" s="76"/>
      <c r="I427" s="76"/>
      <c r="J427" s="76"/>
      <c r="K427" s="76"/>
      <c r="L427" s="76"/>
      <c r="M427" s="76"/>
      <c r="N427" s="76"/>
      <c r="O427" s="76"/>
      <c r="P427" s="76"/>
      <c r="Q427" s="76"/>
      <c r="R427" s="76"/>
      <c r="S427" s="76"/>
      <c r="T427" s="76"/>
      <c r="U427" s="76"/>
      <c r="V427" s="76"/>
      <c r="W427" s="76"/>
      <c r="X427" s="76"/>
      <c r="Y427" s="76"/>
      <c r="Z427" s="76"/>
      <c r="AA427" s="76"/>
      <c r="AB427" s="76"/>
    </row>
    <row r="428" spans="6:28">
      <c r="F428" s="76"/>
      <c r="G428" s="76"/>
      <c r="H428" s="76"/>
      <c r="I428" s="76"/>
      <c r="J428" s="76"/>
      <c r="K428" s="76"/>
      <c r="L428" s="76"/>
      <c r="M428" s="76"/>
      <c r="N428" s="76"/>
      <c r="O428" s="76"/>
      <c r="P428" s="76"/>
      <c r="Q428" s="76"/>
      <c r="R428" s="76"/>
      <c r="S428" s="76"/>
      <c r="T428" s="76"/>
      <c r="U428" s="76"/>
      <c r="V428" s="76"/>
      <c r="W428" s="76"/>
      <c r="X428" s="76"/>
      <c r="Y428" s="76"/>
      <c r="Z428" s="76"/>
      <c r="AA428" s="76"/>
      <c r="AB428" s="76"/>
    </row>
    <row r="429" spans="6:28">
      <c r="F429" s="76"/>
      <c r="G429" s="76"/>
      <c r="H429" s="76"/>
      <c r="I429" s="76"/>
      <c r="J429" s="76"/>
      <c r="K429" s="76"/>
      <c r="L429" s="76"/>
      <c r="M429" s="76"/>
      <c r="N429" s="76"/>
      <c r="O429" s="76"/>
      <c r="P429" s="76"/>
      <c r="Q429" s="76"/>
      <c r="R429" s="76"/>
      <c r="S429" s="76"/>
      <c r="T429" s="76"/>
      <c r="U429" s="76"/>
      <c r="V429" s="76"/>
      <c r="W429" s="76"/>
      <c r="X429" s="76"/>
      <c r="Y429" s="76"/>
      <c r="Z429" s="76"/>
      <c r="AA429" s="76"/>
      <c r="AB429" s="76"/>
    </row>
    <row r="430" spans="6:28">
      <c r="F430" s="76"/>
      <c r="G430" s="76"/>
      <c r="H430" s="76"/>
      <c r="I430" s="76"/>
      <c r="J430" s="76"/>
      <c r="K430" s="76"/>
      <c r="L430" s="76"/>
      <c r="M430" s="76"/>
      <c r="N430" s="76"/>
      <c r="O430" s="76"/>
      <c r="P430" s="76"/>
      <c r="Q430" s="76"/>
      <c r="R430" s="76"/>
      <c r="S430" s="76"/>
      <c r="T430" s="76"/>
      <c r="U430" s="76"/>
      <c r="V430" s="76"/>
      <c r="W430" s="76"/>
      <c r="X430" s="76"/>
      <c r="Y430" s="76"/>
      <c r="Z430" s="76"/>
      <c r="AA430" s="76"/>
      <c r="AB430" s="76"/>
    </row>
    <row r="431" spans="6:28">
      <c r="F431" s="76"/>
      <c r="G431" s="76"/>
      <c r="H431" s="76"/>
      <c r="I431" s="76"/>
      <c r="J431" s="76"/>
      <c r="K431" s="76"/>
      <c r="L431" s="76"/>
      <c r="M431" s="76"/>
      <c r="N431" s="76"/>
      <c r="O431" s="76"/>
      <c r="P431" s="76"/>
      <c r="Q431" s="76"/>
      <c r="R431" s="76"/>
      <c r="S431" s="76"/>
      <c r="T431" s="76"/>
      <c r="U431" s="76"/>
      <c r="V431" s="76"/>
      <c r="W431" s="76"/>
      <c r="X431" s="76"/>
      <c r="Y431" s="76"/>
      <c r="Z431" s="76"/>
      <c r="AA431" s="76"/>
      <c r="AB431" s="76"/>
    </row>
    <row r="432" spans="6:28">
      <c r="F432" s="76"/>
      <c r="G432" s="76"/>
      <c r="H432" s="76"/>
      <c r="I432" s="76"/>
      <c r="J432" s="76"/>
      <c r="K432" s="76"/>
      <c r="L432" s="76"/>
      <c r="M432" s="76"/>
      <c r="N432" s="76"/>
      <c r="O432" s="76"/>
      <c r="P432" s="76"/>
      <c r="Q432" s="76"/>
      <c r="R432" s="76"/>
      <c r="S432" s="76"/>
      <c r="T432" s="76"/>
      <c r="U432" s="76"/>
      <c r="V432" s="76"/>
      <c r="W432" s="76"/>
      <c r="X432" s="76"/>
      <c r="Y432" s="76"/>
      <c r="Z432" s="76"/>
      <c r="AA432" s="76"/>
      <c r="AB432" s="76"/>
    </row>
    <row r="433" spans="6:28">
      <c r="F433" s="76"/>
      <c r="G433" s="76"/>
      <c r="H433" s="76"/>
      <c r="I433" s="76"/>
      <c r="J433" s="76"/>
      <c r="K433" s="76"/>
      <c r="L433" s="76"/>
      <c r="M433" s="76"/>
      <c r="N433" s="76"/>
      <c r="O433" s="76"/>
      <c r="P433" s="76"/>
      <c r="Q433" s="76"/>
      <c r="R433" s="76"/>
      <c r="S433" s="76"/>
      <c r="T433" s="76"/>
      <c r="U433" s="76"/>
      <c r="V433" s="76"/>
      <c r="W433" s="76"/>
      <c r="X433" s="76"/>
      <c r="Y433" s="76"/>
      <c r="Z433" s="76"/>
      <c r="AA433" s="76"/>
      <c r="AB433" s="76"/>
    </row>
    <row r="434" spans="6:28">
      <c r="F434" s="76"/>
      <c r="G434" s="76"/>
      <c r="H434" s="76"/>
      <c r="I434" s="76"/>
      <c r="J434" s="76"/>
      <c r="K434" s="76"/>
      <c r="L434" s="76"/>
      <c r="M434" s="76"/>
      <c r="N434" s="76"/>
      <c r="O434" s="76"/>
      <c r="P434" s="76"/>
      <c r="Q434" s="76"/>
      <c r="R434" s="76"/>
      <c r="S434" s="76"/>
      <c r="T434" s="76"/>
      <c r="U434" s="76"/>
      <c r="V434" s="76"/>
      <c r="W434" s="76"/>
      <c r="X434" s="76"/>
      <c r="Y434" s="76"/>
      <c r="Z434" s="76"/>
      <c r="AA434" s="76"/>
      <c r="AB434" s="76"/>
    </row>
    <row r="435" spans="6:28">
      <c r="F435" s="76"/>
      <c r="G435" s="76"/>
      <c r="H435" s="76"/>
      <c r="I435" s="76"/>
      <c r="J435" s="76"/>
      <c r="K435" s="76"/>
      <c r="L435" s="76"/>
      <c r="M435" s="76"/>
      <c r="N435" s="76"/>
      <c r="O435" s="76"/>
      <c r="P435" s="76"/>
      <c r="Q435" s="76"/>
      <c r="R435" s="76"/>
      <c r="S435" s="76"/>
      <c r="T435" s="76"/>
      <c r="U435" s="76"/>
      <c r="V435" s="76"/>
      <c r="W435" s="76"/>
      <c r="X435" s="76"/>
      <c r="Y435" s="76"/>
      <c r="Z435" s="76"/>
      <c r="AA435" s="76"/>
      <c r="AB435" s="76"/>
    </row>
    <row r="436" spans="6:28">
      <c r="F436" s="76"/>
      <c r="G436" s="76"/>
      <c r="H436" s="76"/>
      <c r="I436" s="76"/>
      <c r="J436" s="76"/>
      <c r="K436" s="76"/>
      <c r="L436" s="76"/>
      <c r="M436" s="76"/>
      <c r="N436" s="76"/>
      <c r="O436" s="76"/>
      <c r="P436" s="76"/>
      <c r="Q436" s="76"/>
      <c r="R436" s="76"/>
      <c r="S436" s="76"/>
      <c r="T436" s="76"/>
      <c r="U436" s="76"/>
      <c r="V436" s="76"/>
      <c r="W436" s="76"/>
      <c r="X436" s="76"/>
      <c r="Y436" s="76"/>
      <c r="Z436" s="76"/>
      <c r="AA436" s="76"/>
      <c r="AB436" s="76"/>
    </row>
    <row r="437" spans="6:28">
      <c r="F437" s="76"/>
      <c r="G437" s="76"/>
      <c r="H437" s="76"/>
      <c r="I437" s="76"/>
      <c r="J437" s="76"/>
      <c r="K437" s="76"/>
      <c r="L437" s="76"/>
      <c r="M437" s="76"/>
      <c r="N437" s="76"/>
      <c r="O437" s="76"/>
      <c r="P437" s="76"/>
      <c r="Q437" s="76"/>
      <c r="R437" s="76"/>
      <c r="S437" s="76"/>
      <c r="T437" s="76"/>
      <c r="U437" s="76"/>
      <c r="V437" s="76"/>
      <c r="W437" s="76"/>
      <c r="X437" s="76"/>
      <c r="Y437" s="76"/>
      <c r="Z437" s="76"/>
      <c r="AA437" s="76"/>
      <c r="AB437" s="76"/>
    </row>
    <row r="438" spans="6:28">
      <c r="F438" s="76"/>
      <c r="G438" s="76"/>
      <c r="H438" s="76"/>
      <c r="I438" s="76"/>
      <c r="J438" s="76"/>
      <c r="K438" s="76"/>
      <c r="L438" s="76"/>
      <c r="M438" s="76"/>
      <c r="N438" s="76"/>
      <c r="O438" s="76"/>
      <c r="P438" s="76"/>
      <c r="Q438" s="76"/>
      <c r="R438" s="76"/>
      <c r="S438" s="76"/>
      <c r="T438" s="76"/>
      <c r="U438" s="76"/>
      <c r="V438" s="76"/>
      <c r="W438" s="76"/>
      <c r="X438" s="76"/>
      <c r="Y438" s="76"/>
      <c r="Z438" s="76"/>
      <c r="AA438" s="76"/>
      <c r="AB438" s="76"/>
    </row>
    <row r="439" spans="6:28">
      <c r="F439" s="76"/>
      <c r="G439" s="76"/>
      <c r="H439" s="76"/>
      <c r="I439" s="76"/>
      <c r="J439" s="76"/>
      <c r="K439" s="76"/>
      <c r="L439" s="76"/>
      <c r="M439" s="76"/>
      <c r="N439" s="76"/>
      <c r="O439" s="76"/>
      <c r="P439" s="76"/>
      <c r="Q439" s="76"/>
      <c r="R439" s="76"/>
      <c r="S439" s="76"/>
      <c r="T439" s="76"/>
      <c r="U439" s="76"/>
      <c r="V439" s="76"/>
      <c r="W439" s="76"/>
      <c r="X439" s="76"/>
      <c r="Y439" s="76"/>
      <c r="Z439" s="76"/>
      <c r="AA439" s="76"/>
      <c r="AB439" s="76"/>
    </row>
    <row r="440" spans="6:28">
      <c r="F440" s="76"/>
      <c r="G440" s="76"/>
      <c r="H440" s="76"/>
      <c r="I440" s="76"/>
      <c r="J440" s="76"/>
      <c r="K440" s="76"/>
      <c r="L440" s="76"/>
      <c r="M440" s="76"/>
      <c r="N440" s="76"/>
      <c r="O440" s="76"/>
      <c r="P440" s="76"/>
      <c r="Q440" s="76"/>
      <c r="R440" s="76"/>
      <c r="S440" s="76"/>
      <c r="T440" s="76"/>
      <c r="U440" s="76"/>
      <c r="V440" s="76"/>
      <c r="W440" s="76"/>
      <c r="X440" s="76"/>
      <c r="Y440" s="76"/>
      <c r="Z440" s="76"/>
      <c r="AA440" s="76"/>
      <c r="AB440" s="76"/>
    </row>
    <row r="441" spans="6:28">
      <c r="F441" s="76"/>
      <c r="G441" s="76"/>
      <c r="H441" s="76"/>
      <c r="I441" s="76"/>
      <c r="J441" s="76"/>
      <c r="K441" s="76"/>
      <c r="L441" s="76"/>
      <c r="M441" s="76"/>
      <c r="N441" s="76"/>
      <c r="O441" s="76"/>
      <c r="P441" s="76"/>
      <c r="Q441" s="76"/>
      <c r="R441" s="76"/>
      <c r="S441" s="76"/>
      <c r="T441" s="76"/>
      <c r="U441" s="76"/>
      <c r="V441" s="76"/>
      <c r="W441" s="76"/>
      <c r="X441" s="76"/>
      <c r="Y441" s="76"/>
      <c r="Z441" s="76"/>
      <c r="AA441" s="76"/>
      <c r="AB441" s="76"/>
    </row>
    <row r="442" spans="6:28">
      <c r="F442" s="76"/>
      <c r="G442" s="76"/>
      <c r="H442" s="76"/>
      <c r="I442" s="76"/>
      <c r="J442" s="76"/>
      <c r="K442" s="76"/>
      <c r="L442" s="76"/>
      <c r="M442" s="76"/>
      <c r="N442" s="76"/>
      <c r="O442" s="76"/>
      <c r="P442" s="76"/>
      <c r="Q442" s="76"/>
      <c r="R442" s="76"/>
      <c r="S442" s="76"/>
      <c r="T442" s="76"/>
      <c r="U442" s="76"/>
      <c r="V442" s="76"/>
      <c r="W442" s="76"/>
      <c r="X442" s="76"/>
      <c r="Y442" s="76"/>
      <c r="Z442" s="76"/>
      <c r="AA442" s="76"/>
      <c r="AB442" s="76"/>
    </row>
    <row r="443" spans="6:28">
      <c r="F443" s="76"/>
      <c r="G443" s="76"/>
      <c r="H443" s="76"/>
      <c r="I443" s="76"/>
      <c r="J443" s="76"/>
      <c r="K443" s="76"/>
      <c r="L443" s="76"/>
      <c r="M443" s="76"/>
      <c r="N443" s="76"/>
      <c r="O443" s="76"/>
      <c r="P443" s="76"/>
      <c r="Q443" s="76"/>
      <c r="R443" s="76"/>
      <c r="S443" s="76"/>
      <c r="T443" s="76"/>
      <c r="U443" s="76"/>
      <c r="V443" s="76"/>
      <c r="W443" s="76"/>
      <c r="X443" s="76"/>
      <c r="Y443" s="76"/>
      <c r="Z443" s="76"/>
      <c r="AA443" s="76"/>
      <c r="AB443" s="76"/>
    </row>
    <row r="444" spans="6:28">
      <c r="F444" s="76"/>
      <c r="G444" s="76"/>
      <c r="H444" s="76"/>
      <c r="I444" s="76"/>
      <c r="J444" s="76"/>
      <c r="K444" s="76"/>
      <c r="L444" s="76"/>
      <c r="M444" s="76"/>
      <c r="N444" s="76"/>
      <c r="O444" s="76"/>
      <c r="P444" s="76"/>
      <c r="Q444" s="76"/>
      <c r="R444" s="76"/>
      <c r="S444" s="76"/>
      <c r="T444" s="76"/>
      <c r="U444" s="76"/>
      <c r="V444" s="76"/>
      <c r="W444" s="76"/>
      <c r="X444" s="76"/>
      <c r="Y444" s="76"/>
      <c r="Z444" s="76"/>
      <c r="AA444" s="76"/>
      <c r="AB444" s="76"/>
    </row>
    <row r="445" spans="6:28">
      <c r="F445" s="76"/>
      <c r="G445" s="76"/>
      <c r="H445" s="76"/>
      <c r="I445" s="76"/>
      <c r="J445" s="76"/>
      <c r="K445" s="76"/>
      <c r="L445" s="76"/>
      <c r="M445" s="76"/>
      <c r="N445" s="76"/>
      <c r="O445" s="76"/>
      <c r="P445" s="76"/>
      <c r="Q445" s="76"/>
      <c r="R445" s="76"/>
      <c r="S445" s="76"/>
      <c r="T445" s="76"/>
      <c r="U445" s="76"/>
      <c r="V445" s="76"/>
      <c r="W445" s="76"/>
      <c r="X445" s="76"/>
      <c r="Y445" s="76"/>
      <c r="Z445" s="76"/>
      <c r="AA445" s="76"/>
      <c r="AB445" s="76"/>
    </row>
    <row r="446" spans="6:28">
      <c r="F446" s="76"/>
      <c r="G446" s="76"/>
      <c r="H446" s="76"/>
      <c r="I446" s="76"/>
      <c r="J446" s="76"/>
      <c r="K446" s="76"/>
      <c r="L446" s="76"/>
      <c r="M446" s="76"/>
      <c r="N446" s="76"/>
      <c r="O446" s="76"/>
      <c r="P446" s="76"/>
      <c r="Q446" s="76"/>
      <c r="R446" s="76"/>
      <c r="S446" s="76"/>
      <c r="T446" s="76"/>
      <c r="U446" s="76"/>
      <c r="V446" s="76"/>
      <c r="W446" s="76"/>
      <c r="X446" s="76"/>
      <c r="Y446" s="76"/>
      <c r="Z446" s="76"/>
      <c r="AA446" s="76"/>
      <c r="AB446" s="76"/>
    </row>
    <row r="447" spans="6:28">
      <c r="F447" s="76"/>
      <c r="G447" s="76"/>
      <c r="H447" s="76"/>
      <c r="I447" s="76"/>
      <c r="J447" s="76"/>
      <c r="K447" s="76"/>
      <c r="L447" s="76"/>
      <c r="M447" s="76"/>
      <c r="N447" s="76"/>
      <c r="O447" s="76"/>
      <c r="P447" s="76"/>
      <c r="Q447" s="76"/>
      <c r="R447" s="76"/>
      <c r="S447" s="76"/>
      <c r="T447" s="76"/>
      <c r="U447" s="76"/>
      <c r="V447" s="76"/>
      <c r="W447" s="76"/>
      <c r="X447" s="76"/>
      <c r="Y447" s="76"/>
      <c r="Z447" s="76"/>
      <c r="AA447" s="76"/>
      <c r="AB447" s="76"/>
    </row>
    <row r="448" spans="6:28">
      <c r="F448" s="76"/>
      <c r="G448" s="76"/>
      <c r="H448" s="76"/>
      <c r="I448" s="76"/>
      <c r="J448" s="76"/>
      <c r="K448" s="76"/>
      <c r="L448" s="76"/>
      <c r="M448" s="76"/>
      <c r="N448" s="76"/>
      <c r="O448" s="76"/>
      <c r="P448" s="76"/>
      <c r="Q448" s="76"/>
      <c r="R448" s="76"/>
      <c r="S448" s="76"/>
      <c r="T448" s="76"/>
      <c r="U448" s="76"/>
      <c r="V448" s="76"/>
      <c r="W448" s="76"/>
      <c r="X448" s="76"/>
      <c r="Y448" s="76"/>
      <c r="Z448" s="76"/>
      <c r="AA448" s="76"/>
      <c r="AB448" s="76"/>
    </row>
    <row r="449" spans="6:28">
      <c r="F449" s="76"/>
      <c r="G449" s="76"/>
      <c r="H449" s="76"/>
      <c r="I449" s="76"/>
      <c r="J449" s="76"/>
      <c r="K449" s="76"/>
      <c r="L449" s="76"/>
      <c r="M449" s="76"/>
      <c r="N449" s="76"/>
      <c r="O449" s="76"/>
      <c r="P449" s="76"/>
      <c r="Q449" s="76"/>
      <c r="R449" s="76"/>
      <c r="S449" s="76"/>
      <c r="T449" s="76"/>
      <c r="U449" s="76"/>
      <c r="V449" s="76"/>
      <c r="W449" s="76"/>
      <c r="X449" s="76"/>
      <c r="Y449" s="76"/>
      <c r="Z449" s="76"/>
      <c r="AA449" s="76"/>
      <c r="AB449" s="76"/>
    </row>
    <row r="450" spans="6:28">
      <c r="F450" s="76"/>
      <c r="G450" s="76"/>
      <c r="H450" s="76"/>
      <c r="I450" s="76"/>
      <c r="J450" s="76"/>
      <c r="K450" s="76"/>
      <c r="L450" s="76"/>
      <c r="M450" s="76"/>
      <c r="N450" s="76"/>
      <c r="O450" s="76"/>
      <c r="P450" s="76"/>
      <c r="Q450" s="76"/>
      <c r="R450" s="76"/>
      <c r="S450" s="76"/>
      <c r="T450" s="76"/>
      <c r="U450" s="76"/>
      <c r="V450" s="76"/>
      <c r="W450" s="76"/>
      <c r="X450" s="76"/>
      <c r="Y450" s="76"/>
      <c r="Z450" s="76"/>
      <c r="AA450" s="76"/>
      <c r="AB450" s="76"/>
    </row>
    <row r="451" spans="6:28">
      <c r="F451" s="76"/>
      <c r="G451" s="76"/>
      <c r="H451" s="76"/>
      <c r="I451" s="76"/>
      <c r="J451" s="76"/>
      <c r="K451" s="76"/>
      <c r="L451" s="76"/>
      <c r="M451" s="76"/>
      <c r="N451" s="76"/>
      <c r="O451" s="76"/>
      <c r="P451" s="76"/>
      <c r="Q451" s="76"/>
      <c r="R451" s="76"/>
      <c r="S451" s="76"/>
      <c r="T451" s="76"/>
      <c r="U451" s="76"/>
      <c r="V451" s="76"/>
      <c r="W451" s="76"/>
      <c r="X451" s="76"/>
      <c r="Y451" s="76"/>
      <c r="Z451" s="76"/>
      <c r="AA451" s="76"/>
      <c r="AB451" s="76"/>
    </row>
    <row r="452" spans="6:28">
      <c r="F452" s="76"/>
      <c r="G452" s="76"/>
      <c r="H452" s="76"/>
      <c r="I452" s="76"/>
      <c r="J452" s="76"/>
      <c r="K452" s="76"/>
      <c r="L452" s="76"/>
      <c r="M452" s="76"/>
      <c r="N452" s="76"/>
      <c r="O452" s="76"/>
      <c r="P452" s="76"/>
      <c r="Q452" s="76"/>
      <c r="R452" s="76"/>
      <c r="S452" s="76"/>
      <c r="T452" s="76"/>
      <c r="U452" s="76"/>
      <c r="V452" s="76"/>
      <c r="W452" s="76"/>
      <c r="X452" s="76"/>
      <c r="Y452" s="76"/>
      <c r="Z452" s="76"/>
      <c r="AA452" s="76"/>
      <c r="AB452" s="76"/>
    </row>
    <row r="453" spans="6:28">
      <c r="F453" s="76"/>
      <c r="G453" s="76"/>
      <c r="H453" s="76"/>
      <c r="I453" s="76"/>
      <c r="J453" s="76"/>
      <c r="K453" s="76"/>
      <c r="L453" s="76"/>
      <c r="M453" s="76"/>
      <c r="N453" s="76"/>
      <c r="O453" s="76"/>
      <c r="P453" s="76"/>
      <c r="Q453" s="76"/>
      <c r="R453" s="76"/>
      <c r="S453" s="76"/>
      <c r="T453" s="76"/>
      <c r="U453" s="76"/>
      <c r="V453" s="76"/>
      <c r="W453" s="76"/>
      <c r="X453" s="76"/>
      <c r="Y453" s="76"/>
      <c r="Z453" s="76"/>
      <c r="AA453" s="76"/>
      <c r="AB453" s="76"/>
    </row>
    <row r="454" spans="6:28">
      <c r="F454" s="76"/>
      <c r="G454" s="76"/>
      <c r="H454" s="76"/>
      <c r="I454" s="76"/>
      <c r="J454" s="76"/>
      <c r="K454" s="76"/>
      <c r="L454" s="76"/>
      <c r="M454" s="76"/>
      <c r="N454" s="76"/>
      <c r="O454" s="76"/>
      <c r="P454" s="76"/>
      <c r="Q454" s="76"/>
      <c r="R454" s="76"/>
      <c r="S454" s="76"/>
      <c r="T454" s="76"/>
      <c r="U454" s="76"/>
      <c r="V454" s="76"/>
      <c r="W454" s="76"/>
      <c r="X454" s="76"/>
      <c r="Y454" s="76"/>
      <c r="Z454" s="76"/>
      <c r="AA454" s="76"/>
      <c r="AB454" s="76"/>
    </row>
    <row r="455" spans="6:28">
      <c r="F455" s="76"/>
      <c r="G455" s="76"/>
      <c r="H455" s="76"/>
      <c r="I455" s="76"/>
      <c r="J455" s="76"/>
      <c r="K455" s="76"/>
      <c r="L455" s="76"/>
      <c r="M455" s="76"/>
      <c r="N455" s="76"/>
      <c r="O455" s="76"/>
      <c r="P455" s="76"/>
      <c r="Q455" s="76"/>
      <c r="R455" s="76"/>
      <c r="S455" s="76"/>
      <c r="T455" s="76"/>
      <c r="U455" s="76"/>
      <c r="V455" s="76"/>
      <c r="W455" s="76"/>
      <c r="X455" s="76"/>
      <c r="Y455" s="76"/>
      <c r="Z455" s="76"/>
      <c r="AA455" s="76"/>
      <c r="AB455" s="76"/>
    </row>
    <row r="456" spans="6:28">
      <c r="F456" s="76"/>
      <c r="G456" s="76"/>
      <c r="H456" s="76"/>
      <c r="I456" s="76"/>
      <c r="J456" s="76"/>
      <c r="K456" s="76"/>
      <c r="L456" s="76"/>
      <c r="M456" s="76"/>
      <c r="N456" s="76"/>
      <c r="O456" s="76"/>
      <c r="P456" s="76"/>
      <c r="Q456" s="76"/>
      <c r="R456" s="76"/>
      <c r="S456" s="76"/>
      <c r="T456" s="76"/>
      <c r="U456" s="76"/>
      <c r="V456" s="76"/>
      <c r="W456" s="76"/>
      <c r="X456" s="76"/>
      <c r="Y456" s="76"/>
      <c r="Z456" s="76"/>
      <c r="AA456" s="76"/>
      <c r="AB456" s="76"/>
    </row>
    <row r="457" spans="6:28">
      <c r="F457" s="76"/>
      <c r="G457" s="76"/>
      <c r="H457" s="76"/>
      <c r="I457" s="76"/>
      <c r="J457" s="76"/>
      <c r="K457" s="76"/>
      <c r="L457" s="76"/>
      <c r="M457" s="76"/>
      <c r="N457" s="76"/>
      <c r="O457" s="76"/>
      <c r="P457" s="76"/>
      <c r="Q457" s="76"/>
      <c r="R457" s="76"/>
      <c r="S457" s="76"/>
      <c r="T457" s="76"/>
      <c r="U457" s="76"/>
      <c r="V457" s="76"/>
      <c r="W457" s="76"/>
      <c r="X457" s="76"/>
      <c r="Y457" s="76"/>
      <c r="Z457" s="76"/>
      <c r="AA457" s="76"/>
      <c r="AB457" s="76"/>
    </row>
    <row r="458" spans="6:28">
      <c r="F458" s="76"/>
      <c r="G458" s="76"/>
      <c r="H458" s="76"/>
      <c r="I458" s="76"/>
      <c r="J458" s="76"/>
      <c r="K458" s="76"/>
      <c r="L458" s="76"/>
      <c r="M458" s="76"/>
      <c r="N458" s="76"/>
      <c r="O458" s="76"/>
      <c r="P458" s="76"/>
      <c r="Q458" s="76"/>
      <c r="R458" s="76"/>
      <c r="S458" s="76"/>
      <c r="T458" s="76"/>
      <c r="U458" s="76"/>
      <c r="V458" s="76"/>
      <c r="W458" s="76"/>
      <c r="X458" s="76"/>
      <c r="Y458" s="76"/>
      <c r="Z458" s="76"/>
      <c r="AA458" s="76"/>
      <c r="AB458" s="76"/>
    </row>
    <row r="459" spans="6:28">
      <c r="F459" s="76"/>
      <c r="G459" s="76"/>
      <c r="H459" s="76"/>
      <c r="I459" s="76"/>
      <c r="J459" s="76"/>
      <c r="K459" s="76"/>
      <c r="L459" s="76"/>
      <c r="M459" s="76"/>
      <c r="N459" s="76"/>
      <c r="O459" s="76"/>
      <c r="P459" s="76"/>
      <c r="Q459" s="76"/>
      <c r="R459" s="76"/>
      <c r="S459" s="76"/>
      <c r="T459" s="76"/>
      <c r="U459" s="76"/>
      <c r="V459" s="76"/>
      <c r="W459" s="76"/>
      <c r="X459" s="76"/>
      <c r="Y459" s="76"/>
      <c r="Z459" s="76"/>
      <c r="AA459" s="76"/>
      <c r="AB459" s="76"/>
    </row>
    <row r="460" spans="6:28">
      <c r="F460" s="76"/>
      <c r="G460" s="76"/>
      <c r="H460" s="76"/>
      <c r="I460" s="76"/>
      <c r="J460" s="76"/>
      <c r="K460" s="76"/>
      <c r="L460" s="76"/>
      <c r="M460" s="76"/>
      <c r="N460" s="76"/>
      <c r="O460" s="76"/>
      <c r="P460" s="76"/>
      <c r="Q460" s="76"/>
      <c r="R460" s="76"/>
      <c r="S460" s="76"/>
      <c r="T460" s="76"/>
      <c r="U460" s="76"/>
      <c r="V460" s="76"/>
      <c r="W460" s="76"/>
      <c r="X460" s="76"/>
      <c r="Y460" s="76"/>
      <c r="Z460" s="76"/>
      <c r="AA460" s="76"/>
      <c r="AB460" s="76"/>
    </row>
    <row r="461" spans="6:28">
      <c r="F461" s="76"/>
      <c r="G461" s="76"/>
      <c r="H461" s="76"/>
      <c r="I461" s="76"/>
      <c r="J461" s="76"/>
      <c r="K461" s="76"/>
      <c r="L461" s="76"/>
      <c r="M461" s="76"/>
      <c r="N461" s="76"/>
      <c r="O461" s="76"/>
      <c r="P461" s="76"/>
      <c r="Q461" s="76"/>
      <c r="R461" s="76"/>
      <c r="S461" s="76"/>
      <c r="T461" s="76"/>
      <c r="U461" s="76"/>
      <c r="V461" s="76"/>
      <c r="W461" s="76"/>
      <c r="X461" s="76"/>
      <c r="Y461" s="76"/>
      <c r="Z461" s="76"/>
      <c r="AA461" s="76"/>
      <c r="AB461" s="76"/>
    </row>
    <row r="462" spans="6:28">
      <c r="F462" s="76"/>
      <c r="G462" s="76"/>
      <c r="H462" s="76"/>
      <c r="I462" s="76"/>
      <c r="J462" s="76"/>
      <c r="K462" s="76"/>
      <c r="L462" s="76"/>
      <c r="M462" s="76"/>
      <c r="N462" s="76"/>
      <c r="O462" s="76"/>
      <c r="P462" s="76"/>
      <c r="Q462" s="76"/>
      <c r="R462" s="76"/>
      <c r="S462" s="76"/>
      <c r="T462" s="76"/>
      <c r="U462" s="76"/>
      <c r="V462" s="76"/>
      <c r="W462" s="76"/>
      <c r="X462" s="76"/>
      <c r="Y462" s="76"/>
      <c r="Z462" s="76"/>
      <c r="AA462" s="76"/>
      <c r="AB462" s="76"/>
    </row>
    <row r="463" spans="6:28">
      <c r="F463" s="76"/>
      <c r="G463" s="76"/>
      <c r="H463" s="76"/>
      <c r="I463" s="76"/>
      <c r="J463" s="76"/>
      <c r="K463" s="76"/>
      <c r="L463" s="76"/>
      <c r="M463" s="76"/>
      <c r="N463" s="76"/>
      <c r="O463" s="76"/>
      <c r="P463" s="76"/>
      <c r="Q463" s="76"/>
      <c r="R463" s="76"/>
      <c r="S463" s="76"/>
      <c r="T463" s="76"/>
      <c r="U463" s="76"/>
      <c r="V463" s="76"/>
      <c r="W463" s="76"/>
      <c r="X463" s="76"/>
      <c r="Y463" s="76"/>
      <c r="Z463" s="76"/>
      <c r="AA463" s="76"/>
      <c r="AB463" s="76"/>
    </row>
    <row r="464" spans="6:28">
      <c r="F464" s="76"/>
      <c r="G464" s="76"/>
      <c r="H464" s="76"/>
      <c r="I464" s="76"/>
      <c r="J464" s="76"/>
      <c r="K464" s="76"/>
      <c r="L464" s="76"/>
      <c r="M464" s="76"/>
      <c r="N464" s="76"/>
      <c r="O464" s="76"/>
      <c r="P464" s="76"/>
      <c r="Q464" s="76"/>
      <c r="R464" s="76"/>
      <c r="S464" s="76"/>
      <c r="T464" s="76"/>
      <c r="U464" s="76"/>
      <c r="V464" s="76"/>
      <c r="W464" s="76"/>
      <c r="X464" s="76"/>
      <c r="Y464" s="76"/>
      <c r="Z464" s="76"/>
      <c r="AA464" s="76"/>
      <c r="AB464" s="76"/>
    </row>
    <row r="465" spans="6:28">
      <c r="F465" s="76"/>
      <c r="G465" s="76"/>
      <c r="H465" s="76"/>
      <c r="I465" s="76"/>
      <c r="J465" s="76"/>
      <c r="K465" s="76"/>
      <c r="L465" s="76"/>
      <c r="M465" s="76"/>
      <c r="N465" s="76"/>
      <c r="O465" s="76"/>
      <c r="P465" s="76"/>
      <c r="Q465" s="76"/>
      <c r="R465" s="76"/>
      <c r="S465" s="76"/>
      <c r="T465" s="76"/>
      <c r="U465" s="76"/>
      <c r="V465" s="76"/>
      <c r="W465" s="76"/>
      <c r="X465" s="76"/>
      <c r="Y465" s="76"/>
      <c r="Z465" s="76"/>
      <c r="AA465" s="76"/>
      <c r="AB465" s="76"/>
    </row>
    <row r="466" spans="6:28">
      <c r="F466" s="76"/>
      <c r="G466" s="76"/>
      <c r="H466" s="76"/>
      <c r="I466" s="76"/>
      <c r="J466" s="76"/>
      <c r="K466" s="76"/>
      <c r="L466" s="76"/>
      <c r="M466" s="76"/>
      <c r="N466" s="76"/>
      <c r="O466" s="76"/>
      <c r="P466" s="76"/>
      <c r="Q466" s="76"/>
      <c r="R466" s="76"/>
      <c r="S466" s="76"/>
      <c r="T466" s="76"/>
      <c r="U466" s="76"/>
      <c r="V466" s="76"/>
      <c r="W466" s="76"/>
      <c r="X466" s="76"/>
      <c r="Y466" s="76"/>
      <c r="Z466" s="76"/>
      <c r="AA466" s="76"/>
      <c r="AB466" s="76"/>
    </row>
    <row r="467" spans="6:28">
      <c r="F467" s="76"/>
      <c r="G467" s="76"/>
      <c r="H467" s="76"/>
      <c r="I467" s="76"/>
      <c r="J467" s="76"/>
      <c r="K467" s="76"/>
      <c r="L467" s="76"/>
      <c r="M467" s="76"/>
      <c r="N467" s="76"/>
      <c r="O467" s="76"/>
      <c r="P467" s="76"/>
      <c r="Q467" s="76"/>
      <c r="R467" s="76"/>
      <c r="S467" s="76"/>
      <c r="T467" s="76"/>
      <c r="U467" s="76"/>
      <c r="V467" s="76"/>
      <c r="W467" s="76"/>
      <c r="X467" s="76"/>
      <c r="Y467" s="76"/>
      <c r="Z467" s="76"/>
      <c r="AA467" s="76"/>
      <c r="AB467" s="76"/>
    </row>
    <row r="468" spans="6:28">
      <c r="F468" s="76"/>
      <c r="G468" s="76"/>
      <c r="H468" s="76"/>
      <c r="I468" s="76"/>
      <c r="J468" s="76"/>
      <c r="K468" s="76"/>
      <c r="L468" s="76"/>
      <c r="M468" s="76"/>
      <c r="N468" s="76"/>
      <c r="O468" s="76"/>
      <c r="P468" s="76"/>
      <c r="Q468" s="76"/>
      <c r="R468" s="76"/>
      <c r="S468" s="76"/>
      <c r="T468" s="76"/>
      <c r="U468" s="76"/>
      <c r="V468" s="76"/>
      <c r="W468" s="76"/>
      <c r="X468" s="76"/>
      <c r="Y468" s="76"/>
      <c r="Z468" s="76"/>
      <c r="AA468" s="76"/>
      <c r="AB468" s="76"/>
    </row>
    <row r="469" spans="6:28">
      <c r="F469" s="76"/>
      <c r="G469" s="76"/>
      <c r="H469" s="76"/>
      <c r="I469" s="76"/>
      <c r="J469" s="76"/>
      <c r="K469" s="76"/>
      <c r="L469" s="76"/>
      <c r="M469" s="76"/>
      <c r="N469" s="76"/>
      <c r="O469" s="76"/>
      <c r="P469" s="76"/>
      <c r="Q469" s="76"/>
      <c r="R469" s="76"/>
      <c r="S469" s="76"/>
      <c r="T469" s="76"/>
      <c r="U469" s="76"/>
      <c r="V469" s="76"/>
      <c r="W469" s="76"/>
      <c r="X469" s="76"/>
      <c r="Y469" s="76"/>
      <c r="Z469" s="76"/>
      <c r="AA469" s="76"/>
      <c r="AB469" s="76"/>
    </row>
    <row r="470" spans="6:28">
      <c r="F470" s="76"/>
      <c r="G470" s="76"/>
      <c r="H470" s="76"/>
      <c r="I470" s="76"/>
      <c r="J470" s="76"/>
      <c r="K470" s="76"/>
      <c r="L470" s="76"/>
      <c r="M470" s="76"/>
      <c r="N470" s="76"/>
      <c r="O470" s="76"/>
      <c r="P470" s="76"/>
      <c r="Q470" s="76"/>
      <c r="R470" s="76"/>
      <c r="S470" s="76"/>
      <c r="T470" s="76"/>
      <c r="U470" s="76"/>
      <c r="V470" s="76"/>
      <c r="W470" s="76"/>
      <c r="X470" s="76"/>
      <c r="Y470" s="76"/>
      <c r="Z470" s="76"/>
      <c r="AA470" s="76"/>
      <c r="AB470" s="76"/>
    </row>
    <row r="471" spans="6:28">
      <c r="F471" s="76"/>
      <c r="G471" s="76"/>
      <c r="H471" s="76"/>
      <c r="I471" s="76"/>
      <c r="J471" s="76"/>
      <c r="K471" s="76"/>
      <c r="L471" s="76"/>
      <c r="M471" s="76"/>
      <c r="N471" s="76"/>
      <c r="O471" s="76"/>
      <c r="P471" s="76"/>
      <c r="Q471" s="76"/>
      <c r="R471" s="76"/>
      <c r="S471" s="76"/>
      <c r="T471" s="76"/>
      <c r="U471" s="76"/>
      <c r="V471" s="76"/>
      <c r="W471" s="76"/>
      <c r="X471" s="76"/>
      <c r="Y471" s="76"/>
      <c r="Z471" s="76"/>
      <c r="AA471" s="76"/>
      <c r="AB471" s="76"/>
    </row>
    <row r="472" spans="6:28">
      <c r="F472" s="76"/>
      <c r="G472" s="76"/>
      <c r="H472" s="76"/>
      <c r="I472" s="76"/>
      <c r="J472" s="76"/>
      <c r="K472" s="76"/>
      <c r="L472" s="76"/>
      <c r="M472" s="76"/>
      <c r="N472" s="76"/>
      <c r="O472" s="76"/>
      <c r="P472" s="76"/>
      <c r="Q472" s="76"/>
      <c r="R472" s="76"/>
      <c r="S472" s="76"/>
      <c r="T472" s="76"/>
      <c r="U472" s="76"/>
      <c r="V472" s="76"/>
      <c r="W472" s="76"/>
      <c r="X472" s="76"/>
      <c r="Y472" s="76"/>
      <c r="Z472" s="76"/>
      <c r="AA472" s="76"/>
      <c r="AB472" s="76"/>
    </row>
    <row r="473" spans="6:28">
      <c r="F473" s="76"/>
      <c r="G473" s="76"/>
      <c r="H473" s="76"/>
      <c r="I473" s="76"/>
      <c r="J473" s="76"/>
      <c r="K473" s="76"/>
      <c r="L473" s="76"/>
      <c r="M473" s="76"/>
      <c r="N473" s="76"/>
      <c r="O473" s="76"/>
      <c r="P473" s="76"/>
      <c r="Q473" s="76"/>
      <c r="R473" s="76"/>
      <c r="S473" s="76"/>
      <c r="T473" s="76"/>
      <c r="U473" s="76"/>
      <c r="V473" s="76"/>
      <c r="W473" s="76"/>
      <c r="X473" s="76"/>
      <c r="Y473" s="76"/>
      <c r="Z473" s="76"/>
      <c r="AA473" s="76"/>
      <c r="AB473" s="76"/>
    </row>
    <row r="474" spans="6:28">
      <c r="F474" s="76"/>
      <c r="G474" s="76"/>
      <c r="H474" s="76"/>
      <c r="I474" s="76"/>
      <c r="J474" s="76"/>
      <c r="K474" s="76"/>
      <c r="L474" s="76"/>
      <c r="M474" s="76"/>
      <c r="N474" s="76"/>
      <c r="O474" s="76"/>
      <c r="P474" s="76"/>
      <c r="Q474" s="76"/>
      <c r="R474" s="76"/>
      <c r="S474" s="76"/>
      <c r="T474" s="76"/>
      <c r="U474" s="76"/>
      <c r="V474" s="76"/>
      <c r="W474" s="76"/>
      <c r="X474" s="76"/>
      <c r="Y474" s="76"/>
      <c r="Z474" s="76"/>
      <c r="AA474" s="76"/>
      <c r="AB474" s="76"/>
    </row>
    <row r="475" spans="6:28">
      <c r="F475" s="76"/>
      <c r="G475" s="76"/>
      <c r="H475" s="76"/>
      <c r="I475" s="76"/>
      <c r="J475" s="76"/>
      <c r="K475" s="76"/>
      <c r="L475" s="76"/>
      <c r="M475" s="76"/>
      <c r="N475" s="76"/>
      <c r="O475" s="76"/>
      <c r="P475" s="76"/>
      <c r="Q475" s="76"/>
      <c r="R475" s="76"/>
      <c r="S475" s="76"/>
      <c r="T475" s="76"/>
      <c r="U475" s="76"/>
      <c r="V475" s="76"/>
      <c r="W475" s="76"/>
      <c r="X475" s="76"/>
      <c r="Y475" s="76"/>
      <c r="Z475" s="76"/>
      <c r="AA475" s="76"/>
      <c r="AB475" s="76"/>
    </row>
    <row r="476" spans="6:28">
      <c r="F476" s="76"/>
      <c r="G476" s="76"/>
      <c r="H476" s="76"/>
      <c r="I476" s="76"/>
      <c r="J476" s="76"/>
      <c r="K476" s="76"/>
      <c r="L476" s="76"/>
      <c r="M476" s="76"/>
      <c r="N476" s="76"/>
      <c r="O476" s="76"/>
      <c r="P476" s="76"/>
      <c r="Q476" s="76"/>
      <c r="R476" s="76"/>
      <c r="S476" s="76"/>
      <c r="T476" s="76"/>
      <c r="U476" s="76"/>
      <c r="V476" s="76"/>
      <c r="W476" s="76"/>
      <c r="X476" s="76"/>
      <c r="Y476" s="76"/>
      <c r="Z476" s="76"/>
      <c r="AA476" s="76"/>
      <c r="AB476" s="76"/>
    </row>
    <row r="477" spans="6:28">
      <c r="F477" s="76"/>
      <c r="G477" s="76"/>
      <c r="H477" s="76"/>
      <c r="I477" s="76"/>
      <c r="J477" s="76"/>
      <c r="K477" s="76"/>
      <c r="L477" s="76"/>
      <c r="M477" s="76"/>
      <c r="N477" s="76"/>
      <c r="O477" s="76"/>
      <c r="P477" s="76"/>
      <c r="Q477" s="76"/>
      <c r="R477" s="76"/>
      <c r="S477" s="76"/>
      <c r="T477" s="76"/>
      <c r="U477" s="76"/>
      <c r="V477" s="76"/>
      <c r="W477" s="76"/>
      <c r="X477" s="76"/>
      <c r="Y477" s="76"/>
      <c r="Z477" s="76"/>
      <c r="AA477" s="76"/>
      <c r="AB477" s="76"/>
    </row>
    <row r="478" spans="6:28">
      <c r="F478" s="76"/>
      <c r="G478" s="76"/>
      <c r="H478" s="76"/>
      <c r="I478" s="76"/>
      <c r="J478" s="76"/>
      <c r="K478" s="76"/>
      <c r="L478" s="76"/>
      <c r="M478" s="76"/>
      <c r="N478" s="76"/>
      <c r="O478" s="76"/>
      <c r="P478" s="76"/>
      <c r="Q478" s="76"/>
      <c r="R478" s="76"/>
      <c r="S478" s="76"/>
      <c r="T478" s="76"/>
      <c r="U478" s="76"/>
      <c r="V478" s="76"/>
      <c r="W478" s="76"/>
      <c r="X478" s="76"/>
      <c r="Y478" s="76"/>
      <c r="Z478" s="76"/>
      <c r="AA478" s="76"/>
      <c r="AB478" s="76"/>
    </row>
    <row r="479" spans="6:28">
      <c r="F479" s="76"/>
      <c r="G479" s="76"/>
      <c r="H479" s="76"/>
      <c r="I479" s="76"/>
      <c r="J479" s="76"/>
      <c r="K479" s="76"/>
      <c r="L479" s="76"/>
      <c r="M479" s="76"/>
      <c r="N479" s="76"/>
      <c r="O479" s="76"/>
      <c r="P479" s="76"/>
      <c r="Q479" s="76"/>
      <c r="R479" s="76"/>
      <c r="S479" s="76"/>
      <c r="T479" s="76"/>
      <c r="U479" s="76"/>
      <c r="V479" s="76"/>
      <c r="W479" s="76"/>
      <c r="X479" s="76"/>
      <c r="Y479" s="76"/>
      <c r="Z479" s="76"/>
      <c r="AA479" s="76"/>
      <c r="AB479" s="76"/>
    </row>
    <row r="480" spans="6:28">
      <c r="F480" s="76"/>
      <c r="G480" s="76"/>
      <c r="H480" s="76"/>
      <c r="I480" s="76"/>
      <c r="J480" s="76"/>
      <c r="K480" s="76"/>
      <c r="L480" s="76"/>
      <c r="M480" s="76"/>
      <c r="N480" s="76"/>
      <c r="O480" s="76"/>
      <c r="P480" s="76"/>
      <c r="Q480" s="76"/>
      <c r="R480" s="76"/>
      <c r="S480" s="76"/>
      <c r="T480" s="76"/>
      <c r="U480" s="76"/>
      <c r="V480" s="76"/>
      <c r="W480" s="76"/>
      <c r="X480" s="76"/>
      <c r="Y480" s="76"/>
      <c r="Z480" s="76"/>
      <c r="AA480" s="76"/>
      <c r="AB480" s="76"/>
    </row>
    <row r="481" spans="6:28">
      <c r="F481" s="76"/>
      <c r="G481" s="76"/>
      <c r="H481" s="76"/>
      <c r="I481" s="76"/>
      <c r="J481" s="76"/>
      <c r="K481" s="76"/>
      <c r="L481" s="76"/>
      <c r="M481" s="76"/>
      <c r="N481" s="76"/>
      <c r="O481" s="76"/>
      <c r="P481" s="76"/>
      <c r="Q481" s="76"/>
      <c r="R481" s="76"/>
      <c r="S481" s="76"/>
      <c r="T481" s="76"/>
      <c r="U481" s="76"/>
      <c r="V481" s="76"/>
      <c r="W481" s="76"/>
      <c r="X481" s="76"/>
      <c r="Y481" s="76"/>
      <c r="Z481" s="76"/>
      <c r="AA481" s="76"/>
      <c r="AB481" s="76"/>
    </row>
    <row r="482" spans="6:28">
      <c r="F482" s="76"/>
      <c r="G482" s="76"/>
      <c r="H482" s="76"/>
      <c r="I482" s="76"/>
      <c r="J482" s="76"/>
      <c r="K482" s="76"/>
      <c r="L482" s="76"/>
      <c r="M482" s="76"/>
      <c r="N482" s="76"/>
      <c r="O482" s="76"/>
      <c r="P482" s="76"/>
      <c r="Q482" s="76"/>
      <c r="R482" s="76"/>
      <c r="S482" s="76"/>
      <c r="T482" s="76"/>
      <c r="U482" s="76"/>
      <c r="V482" s="76"/>
      <c r="W482" s="76"/>
      <c r="X482" s="76"/>
      <c r="Y482" s="76"/>
      <c r="Z482" s="76"/>
      <c r="AA482" s="76"/>
      <c r="AB482" s="76"/>
    </row>
    <row r="483" spans="6:28">
      <c r="F483" s="76"/>
      <c r="G483" s="76"/>
      <c r="H483" s="76"/>
      <c r="I483" s="76"/>
      <c r="J483" s="76"/>
      <c r="K483" s="76"/>
      <c r="L483" s="76"/>
      <c r="M483" s="76"/>
      <c r="N483" s="76"/>
      <c r="O483" s="76"/>
      <c r="P483" s="76"/>
      <c r="Q483" s="76"/>
      <c r="R483" s="76"/>
      <c r="S483" s="76"/>
      <c r="T483" s="76"/>
      <c r="U483" s="76"/>
      <c r="V483" s="76"/>
      <c r="W483" s="76"/>
      <c r="X483" s="76"/>
      <c r="Y483" s="76"/>
      <c r="Z483" s="76"/>
      <c r="AA483" s="76"/>
      <c r="AB483" s="76"/>
    </row>
    <row r="484" spans="6:28">
      <c r="F484" s="76"/>
      <c r="G484" s="76"/>
      <c r="H484" s="76"/>
      <c r="I484" s="76"/>
      <c r="J484" s="76"/>
      <c r="K484" s="76"/>
      <c r="L484" s="76"/>
      <c r="M484" s="76"/>
      <c r="N484" s="76"/>
      <c r="O484" s="76"/>
      <c r="P484" s="76"/>
      <c r="Q484" s="76"/>
      <c r="R484" s="76"/>
      <c r="S484" s="76"/>
      <c r="T484" s="76"/>
      <c r="U484" s="76"/>
      <c r="V484" s="76"/>
      <c r="W484" s="76"/>
      <c r="X484" s="76"/>
      <c r="Y484" s="76"/>
      <c r="Z484" s="76"/>
      <c r="AA484" s="76"/>
      <c r="AB484" s="76"/>
    </row>
    <row r="485" spans="6:28">
      <c r="F485" s="76"/>
      <c r="G485" s="76"/>
      <c r="H485" s="76"/>
      <c r="I485" s="76"/>
      <c r="J485" s="76"/>
      <c r="K485" s="76"/>
      <c r="L485" s="76"/>
      <c r="M485" s="76"/>
      <c r="N485" s="76"/>
      <c r="O485" s="76"/>
      <c r="P485" s="76"/>
      <c r="Q485" s="76"/>
      <c r="R485" s="76"/>
      <c r="S485" s="76"/>
      <c r="T485" s="76"/>
      <c r="U485" s="76"/>
      <c r="V485" s="76"/>
      <c r="W485" s="76"/>
      <c r="X485" s="76"/>
      <c r="Y485" s="76"/>
      <c r="Z485" s="76"/>
      <c r="AA485" s="76"/>
      <c r="AB485" s="76"/>
    </row>
    <row r="486" spans="6:28">
      <c r="F486" s="76"/>
      <c r="G486" s="76"/>
      <c r="H486" s="76"/>
      <c r="I486" s="76"/>
      <c r="J486" s="76"/>
      <c r="K486" s="76"/>
      <c r="L486" s="76"/>
      <c r="M486" s="76"/>
      <c r="N486" s="76"/>
      <c r="O486" s="76"/>
      <c r="P486" s="76"/>
      <c r="Q486" s="76"/>
      <c r="R486" s="76"/>
      <c r="S486" s="76"/>
      <c r="T486" s="76"/>
      <c r="U486" s="76"/>
      <c r="V486" s="76"/>
      <c r="W486" s="76"/>
      <c r="X486" s="76"/>
      <c r="Y486" s="76"/>
      <c r="Z486" s="76"/>
      <c r="AA486" s="76"/>
      <c r="AB486" s="76"/>
    </row>
    <row r="487" spans="6:28">
      <c r="F487" s="76"/>
      <c r="G487" s="76"/>
      <c r="H487" s="76"/>
      <c r="I487" s="76"/>
      <c r="J487" s="76"/>
      <c r="K487" s="76"/>
      <c r="L487" s="76"/>
      <c r="M487" s="76"/>
      <c r="N487" s="76"/>
      <c r="O487" s="76"/>
      <c r="P487" s="76"/>
      <c r="Q487" s="76"/>
      <c r="R487" s="76"/>
      <c r="S487" s="76"/>
      <c r="T487" s="76"/>
      <c r="U487" s="76"/>
      <c r="V487" s="76"/>
      <c r="W487" s="76"/>
      <c r="X487" s="76"/>
      <c r="Y487" s="76"/>
      <c r="Z487" s="76"/>
      <c r="AA487" s="76"/>
      <c r="AB487" s="76"/>
    </row>
    <row r="488" spans="6:28">
      <c r="F488" s="76"/>
      <c r="G488" s="76"/>
      <c r="H488" s="76"/>
      <c r="I488" s="76"/>
      <c r="J488" s="76"/>
      <c r="K488" s="76"/>
      <c r="L488" s="76"/>
      <c r="M488" s="76"/>
      <c r="N488" s="76"/>
      <c r="O488" s="76"/>
      <c r="P488" s="76"/>
      <c r="Q488" s="76"/>
      <c r="R488" s="76"/>
      <c r="S488" s="76"/>
      <c r="T488" s="76"/>
      <c r="U488" s="76"/>
      <c r="V488" s="76"/>
      <c r="W488" s="76"/>
      <c r="X488" s="76"/>
      <c r="Y488" s="76"/>
      <c r="Z488" s="76"/>
      <c r="AA488" s="76"/>
      <c r="AB488" s="76"/>
    </row>
    <row r="489" spans="6:28">
      <c r="F489" s="76"/>
      <c r="G489" s="76"/>
      <c r="H489" s="76"/>
      <c r="I489" s="76"/>
      <c r="J489" s="76"/>
      <c r="K489" s="76"/>
      <c r="L489" s="76"/>
      <c r="M489" s="76"/>
      <c r="N489" s="76"/>
      <c r="O489" s="76"/>
      <c r="P489" s="76"/>
      <c r="Q489" s="76"/>
      <c r="R489" s="76"/>
      <c r="S489" s="76"/>
      <c r="T489" s="76"/>
      <c r="U489" s="76"/>
      <c r="V489" s="76"/>
      <c r="W489" s="76"/>
      <c r="X489" s="76"/>
      <c r="Y489" s="76"/>
      <c r="Z489" s="76"/>
      <c r="AA489" s="76"/>
      <c r="AB489" s="76"/>
    </row>
    <row r="490" spans="6:28">
      <c r="F490" s="76"/>
      <c r="G490" s="76"/>
      <c r="H490" s="76"/>
      <c r="I490" s="76"/>
      <c r="J490" s="76"/>
      <c r="K490" s="76"/>
      <c r="L490" s="76"/>
      <c r="M490" s="76"/>
      <c r="N490" s="76"/>
      <c r="O490" s="76"/>
      <c r="P490" s="76"/>
      <c r="Q490" s="76"/>
      <c r="R490" s="76"/>
      <c r="S490" s="76"/>
      <c r="T490" s="76"/>
      <c r="U490" s="76"/>
      <c r="V490" s="76"/>
      <c r="W490" s="76"/>
      <c r="X490" s="76"/>
      <c r="Y490" s="76"/>
      <c r="Z490" s="76"/>
      <c r="AA490" s="76"/>
      <c r="AB490" s="76"/>
    </row>
    <row r="491" spans="6:28">
      <c r="F491" s="76"/>
      <c r="G491" s="76"/>
      <c r="H491" s="76"/>
      <c r="I491" s="76"/>
      <c r="J491" s="76"/>
      <c r="K491" s="76"/>
      <c r="L491" s="76"/>
      <c r="M491" s="76"/>
      <c r="N491" s="76"/>
      <c r="O491" s="76"/>
      <c r="P491" s="76"/>
      <c r="Q491" s="76"/>
      <c r="R491" s="76"/>
      <c r="S491" s="76"/>
      <c r="T491" s="76"/>
      <c r="U491" s="76"/>
      <c r="V491" s="76"/>
      <c r="W491" s="76"/>
      <c r="X491" s="76"/>
      <c r="Y491" s="76"/>
      <c r="Z491" s="76"/>
      <c r="AA491" s="76"/>
      <c r="AB491" s="76"/>
    </row>
    <row r="492" spans="6:28">
      <c r="F492" s="76"/>
      <c r="G492" s="76"/>
      <c r="H492" s="76"/>
      <c r="I492" s="76"/>
      <c r="J492" s="76"/>
      <c r="K492" s="76"/>
      <c r="L492" s="76"/>
      <c r="M492" s="76"/>
      <c r="N492" s="76"/>
      <c r="O492" s="76"/>
      <c r="P492" s="76"/>
      <c r="Q492" s="76"/>
      <c r="R492" s="76"/>
      <c r="S492" s="76"/>
      <c r="T492" s="76"/>
      <c r="U492" s="76"/>
      <c r="V492" s="76"/>
      <c r="W492" s="76"/>
      <c r="X492" s="76"/>
      <c r="Y492" s="76"/>
      <c r="Z492" s="76"/>
      <c r="AA492" s="76"/>
      <c r="AB492" s="76"/>
    </row>
    <row r="493" spans="6:28">
      <c r="F493" s="76"/>
      <c r="G493" s="76"/>
      <c r="H493" s="76"/>
      <c r="I493" s="76"/>
      <c r="J493" s="76"/>
      <c r="K493" s="76"/>
      <c r="L493" s="76"/>
      <c r="M493" s="76"/>
      <c r="N493" s="76"/>
      <c r="O493" s="76"/>
      <c r="P493" s="76"/>
      <c r="Q493" s="76"/>
      <c r="R493" s="76"/>
      <c r="S493" s="76"/>
      <c r="T493" s="76"/>
      <c r="U493" s="76"/>
      <c r="V493" s="76"/>
      <c r="W493" s="76"/>
      <c r="X493" s="76"/>
      <c r="Y493" s="76"/>
      <c r="Z493" s="76"/>
      <c r="AA493" s="76"/>
      <c r="AB493" s="76"/>
    </row>
    <row r="494" spans="6:28">
      <c r="F494" s="76"/>
      <c r="G494" s="76"/>
      <c r="H494" s="76"/>
      <c r="I494" s="76"/>
      <c r="J494" s="76"/>
      <c r="K494" s="76"/>
      <c r="L494" s="76"/>
      <c r="M494" s="76"/>
      <c r="N494" s="76"/>
      <c r="O494" s="76"/>
      <c r="P494" s="76"/>
      <c r="Q494" s="76"/>
      <c r="R494" s="76"/>
      <c r="S494" s="76"/>
      <c r="T494" s="76"/>
      <c r="U494" s="76"/>
      <c r="V494" s="76"/>
      <c r="W494" s="76"/>
      <c r="X494" s="76"/>
      <c r="Y494" s="76"/>
      <c r="Z494" s="76"/>
      <c r="AA494" s="76"/>
      <c r="AB494" s="76"/>
    </row>
    <row r="495" spans="6:28">
      <c r="F495" s="76"/>
      <c r="G495" s="76"/>
      <c r="H495" s="76"/>
      <c r="I495" s="76"/>
      <c r="J495" s="76"/>
      <c r="K495" s="76"/>
      <c r="L495" s="76"/>
      <c r="M495" s="76"/>
      <c r="N495" s="76"/>
      <c r="O495" s="76"/>
      <c r="P495" s="76"/>
      <c r="Q495" s="76"/>
      <c r="R495" s="76"/>
      <c r="S495" s="76"/>
      <c r="T495" s="76"/>
      <c r="U495" s="76"/>
      <c r="V495" s="76"/>
      <c r="W495" s="76"/>
      <c r="X495" s="76"/>
      <c r="Y495" s="76"/>
      <c r="Z495" s="76"/>
      <c r="AA495" s="76"/>
      <c r="AB495" s="76"/>
    </row>
    <row r="496" spans="6:28">
      <c r="F496" s="76"/>
      <c r="G496" s="76"/>
      <c r="H496" s="76"/>
      <c r="I496" s="76"/>
      <c r="J496" s="76"/>
      <c r="K496" s="76"/>
      <c r="L496" s="76"/>
      <c r="M496" s="76"/>
      <c r="N496" s="76"/>
      <c r="O496" s="76"/>
      <c r="P496" s="76"/>
      <c r="Q496" s="76"/>
      <c r="R496" s="76"/>
      <c r="S496" s="76"/>
      <c r="T496" s="76"/>
      <c r="U496" s="76"/>
      <c r="V496" s="76"/>
      <c r="W496" s="76"/>
      <c r="X496" s="76"/>
      <c r="Y496" s="76"/>
      <c r="Z496" s="76"/>
      <c r="AA496" s="76"/>
      <c r="AB496" s="76"/>
    </row>
    <row r="497" spans="6:28">
      <c r="F497" s="76"/>
      <c r="G497" s="76"/>
      <c r="H497" s="76"/>
      <c r="I497" s="76"/>
      <c r="J497" s="76"/>
      <c r="K497" s="76"/>
      <c r="L497" s="76"/>
      <c r="M497" s="76"/>
      <c r="N497" s="76"/>
      <c r="O497" s="76"/>
      <c r="P497" s="76"/>
      <c r="Q497" s="76"/>
      <c r="R497" s="76"/>
      <c r="S497" s="76"/>
      <c r="T497" s="76"/>
      <c r="U497" s="76"/>
      <c r="V497" s="76"/>
      <c r="W497" s="76"/>
      <c r="X497" s="76"/>
      <c r="Y497" s="76"/>
      <c r="Z497" s="76"/>
      <c r="AA497" s="76"/>
      <c r="AB497" s="76"/>
    </row>
    <row r="498" spans="6:28">
      <c r="F498" s="76"/>
      <c r="G498" s="76"/>
      <c r="H498" s="76"/>
      <c r="I498" s="76"/>
      <c r="J498" s="76"/>
      <c r="K498" s="76"/>
      <c r="L498" s="76"/>
      <c r="M498" s="76"/>
      <c r="N498" s="76"/>
      <c r="O498" s="76"/>
      <c r="P498" s="76"/>
      <c r="Q498" s="76"/>
      <c r="R498" s="76"/>
      <c r="S498" s="76"/>
      <c r="T498" s="76"/>
      <c r="U498" s="76"/>
      <c r="V498" s="76"/>
      <c r="W498" s="76"/>
      <c r="X498" s="76"/>
      <c r="Y498" s="76"/>
      <c r="Z498" s="76"/>
      <c r="AA498" s="76"/>
      <c r="AB498" s="76"/>
    </row>
    <row r="499" spans="6:28">
      <c r="F499" s="76"/>
      <c r="G499" s="76"/>
      <c r="H499" s="76"/>
      <c r="I499" s="76"/>
      <c r="J499" s="76"/>
      <c r="K499" s="76"/>
      <c r="L499" s="76"/>
      <c r="M499" s="76"/>
      <c r="N499" s="76"/>
      <c r="O499" s="76"/>
      <c r="P499" s="76"/>
      <c r="Q499" s="76"/>
      <c r="R499" s="76"/>
      <c r="S499" s="76"/>
      <c r="T499" s="76"/>
      <c r="U499" s="76"/>
      <c r="V499" s="76"/>
      <c r="W499" s="76"/>
      <c r="X499" s="76"/>
      <c r="Y499" s="76"/>
      <c r="Z499" s="76"/>
      <c r="AA499" s="76"/>
      <c r="AB499" s="76"/>
    </row>
    <row r="500" spans="6:28">
      <c r="F500" s="76"/>
      <c r="G500" s="76"/>
      <c r="H500" s="76"/>
      <c r="I500" s="76"/>
      <c r="J500" s="76"/>
      <c r="K500" s="76"/>
      <c r="L500" s="76"/>
      <c r="M500" s="76"/>
      <c r="N500" s="76"/>
      <c r="O500" s="76"/>
      <c r="P500" s="76"/>
      <c r="Q500" s="76"/>
      <c r="R500" s="76"/>
      <c r="S500" s="76"/>
      <c r="T500" s="76"/>
      <c r="U500" s="76"/>
      <c r="V500" s="76"/>
      <c r="W500" s="76"/>
      <c r="X500" s="76"/>
      <c r="Y500" s="76"/>
      <c r="Z500" s="76"/>
      <c r="AA500" s="76"/>
      <c r="AB500" s="76"/>
    </row>
    <row r="501" spans="6:28">
      <c r="F501" s="76"/>
      <c r="G501" s="76"/>
      <c r="H501" s="76"/>
      <c r="I501" s="76"/>
      <c r="J501" s="76"/>
      <c r="K501" s="76"/>
      <c r="L501" s="76"/>
      <c r="M501" s="76"/>
      <c r="N501" s="76"/>
      <c r="O501" s="76"/>
      <c r="P501" s="76"/>
      <c r="Q501" s="76"/>
      <c r="R501" s="76"/>
      <c r="S501" s="76"/>
      <c r="T501" s="76"/>
      <c r="U501" s="76"/>
      <c r="V501" s="76"/>
      <c r="W501" s="76"/>
      <c r="X501" s="76"/>
      <c r="Y501" s="76"/>
      <c r="Z501" s="76"/>
      <c r="AA501" s="76"/>
      <c r="AB501" s="76"/>
    </row>
    <row r="502" spans="6:28">
      <c r="F502" s="76"/>
      <c r="G502" s="76"/>
      <c r="H502" s="76"/>
      <c r="I502" s="76"/>
      <c r="J502" s="76"/>
      <c r="K502" s="76"/>
      <c r="L502" s="76"/>
      <c r="M502" s="76"/>
      <c r="N502" s="76"/>
      <c r="O502" s="76"/>
      <c r="P502" s="76"/>
      <c r="Q502" s="76"/>
      <c r="R502" s="76"/>
      <c r="S502" s="76"/>
      <c r="T502" s="76"/>
      <c r="U502" s="76"/>
      <c r="V502" s="76"/>
      <c r="W502" s="76"/>
      <c r="X502" s="76"/>
      <c r="Y502" s="76"/>
      <c r="Z502" s="76"/>
      <c r="AA502" s="76"/>
      <c r="AB502" s="76"/>
    </row>
    <row r="503" spans="6:28">
      <c r="F503" s="76"/>
      <c r="G503" s="76"/>
      <c r="H503" s="76"/>
      <c r="I503" s="76"/>
      <c r="J503" s="76"/>
      <c r="K503" s="76"/>
      <c r="L503" s="76"/>
      <c r="M503" s="76"/>
      <c r="N503" s="76"/>
      <c r="O503" s="76"/>
      <c r="P503" s="76"/>
      <c r="Q503" s="76"/>
      <c r="R503" s="76"/>
      <c r="S503" s="76"/>
      <c r="T503" s="76"/>
      <c r="U503" s="76"/>
      <c r="V503" s="76"/>
      <c r="W503" s="76"/>
      <c r="X503" s="76"/>
      <c r="Y503" s="76"/>
      <c r="Z503" s="76"/>
      <c r="AA503" s="76"/>
      <c r="AB503" s="76"/>
    </row>
    <row r="504" spans="6:28">
      <c r="F504" s="76"/>
      <c r="G504" s="76"/>
      <c r="H504" s="76"/>
      <c r="I504" s="76"/>
      <c r="J504" s="76"/>
      <c r="K504" s="76"/>
      <c r="L504" s="76"/>
      <c r="M504" s="76"/>
      <c r="N504" s="76"/>
      <c r="O504" s="76"/>
      <c r="P504" s="76"/>
      <c r="Q504" s="76"/>
      <c r="R504" s="76"/>
      <c r="S504" s="76"/>
      <c r="T504" s="76"/>
      <c r="U504" s="76"/>
      <c r="V504" s="76"/>
      <c r="W504" s="76"/>
      <c r="X504" s="76"/>
      <c r="Y504" s="76"/>
      <c r="Z504" s="76"/>
      <c r="AA504" s="76"/>
      <c r="AB504" s="76"/>
    </row>
    <row r="505" spans="6:28">
      <c r="F505" s="76"/>
      <c r="G505" s="76"/>
      <c r="H505" s="76"/>
      <c r="I505" s="76"/>
      <c r="J505" s="76"/>
      <c r="K505" s="76"/>
      <c r="L505" s="76"/>
      <c r="M505" s="76"/>
      <c r="N505" s="76"/>
      <c r="O505" s="76"/>
      <c r="P505" s="76"/>
      <c r="Q505" s="76"/>
      <c r="R505" s="76"/>
      <c r="S505" s="76"/>
      <c r="T505" s="76"/>
      <c r="U505" s="76"/>
      <c r="V505" s="76"/>
      <c r="W505" s="76"/>
      <c r="X505" s="76"/>
      <c r="Y505" s="76"/>
      <c r="Z505" s="76"/>
      <c r="AA505" s="76"/>
      <c r="AB505" s="76"/>
    </row>
    <row r="506" spans="6:28">
      <c r="F506" s="76"/>
      <c r="G506" s="76"/>
      <c r="H506" s="76"/>
      <c r="I506" s="76"/>
      <c r="J506" s="76"/>
      <c r="K506" s="76"/>
      <c r="L506" s="76"/>
      <c r="M506" s="76"/>
      <c r="N506" s="76"/>
      <c r="O506" s="76"/>
      <c r="P506" s="76"/>
      <c r="Q506" s="76"/>
      <c r="R506" s="76"/>
      <c r="S506" s="76"/>
      <c r="T506" s="76"/>
      <c r="U506" s="76"/>
      <c r="V506" s="76"/>
      <c r="W506" s="76"/>
      <c r="X506" s="76"/>
      <c r="Y506" s="76"/>
      <c r="Z506" s="76"/>
      <c r="AA506" s="76"/>
      <c r="AB506" s="76"/>
    </row>
    <row r="507" spans="6:28">
      <c r="F507" s="76"/>
      <c r="G507" s="76"/>
      <c r="H507" s="76"/>
      <c r="I507" s="76"/>
      <c r="J507" s="76"/>
      <c r="K507" s="76"/>
      <c r="L507" s="76"/>
      <c r="M507" s="76"/>
      <c r="N507" s="76"/>
      <c r="O507" s="76"/>
      <c r="P507" s="76"/>
      <c r="Q507" s="76"/>
      <c r="R507" s="76"/>
      <c r="S507" s="76"/>
      <c r="T507" s="76"/>
      <c r="U507" s="76"/>
      <c r="V507" s="76"/>
      <c r="W507" s="76"/>
      <c r="X507" s="76"/>
      <c r="Y507" s="76"/>
      <c r="Z507" s="76"/>
      <c r="AA507" s="76"/>
      <c r="AB507" s="76"/>
    </row>
    <row r="508" spans="6:28">
      <c r="F508" s="76"/>
      <c r="G508" s="76"/>
      <c r="H508" s="76"/>
      <c r="I508" s="76"/>
      <c r="J508" s="76"/>
      <c r="K508" s="76"/>
      <c r="L508" s="76"/>
      <c r="M508" s="76"/>
      <c r="N508" s="76"/>
      <c r="O508" s="76"/>
      <c r="P508" s="76"/>
      <c r="Q508" s="76"/>
      <c r="R508" s="76"/>
      <c r="S508" s="76"/>
      <c r="T508" s="76"/>
      <c r="U508" s="76"/>
      <c r="V508" s="76"/>
      <c r="W508" s="76"/>
      <c r="X508" s="76"/>
      <c r="Y508" s="76"/>
      <c r="Z508" s="76"/>
      <c r="AA508" s="76"/>
      <c r="AB508" s="76"/>
    </row>
    <row r="509" spans="6:28">
      <c r="F509" s="76"/>
      <c r="G509" s="76"/>
      <c r="H509" s="76"/>
      <c r="I509" s="76"/>
      <c r="J509" s="76"/>
      <c r="K509" s="76"/>
      <c r="L509" s="76"/>
      <c r="M509" s="76"/>
      <c r="N509" s="76"/>
      <c r="O509" s="76"/>
      <c r="P509" s="76"/>
      <c r="Q509" s="76"/>
      <c r="R509" s="76"/>
      <c r="S509" s="76"/>
      <c r="T509" s="76"/>
      <c r="U509" s="76"/>
      <c r="V509" s="76"/>
      <c r="W509" s="76"/>
      <c r="X509" s="76"/>
      <c r="Y509" s="76"/>
      <c r="Z509" s="76"/>
      <c r="AA509" s="76"/>
      <c r="AB509" s="76"/>
    </row>
    <row r="510" spans="6:28">
      <c r="F510" s="76"/>
      <c r="G510" s="76"/>
      <c r="H510" s="76"/>
      <c r="I510" s="76"/>
      <c r="J510" s="76"/>
      <c r="K510" s="76"/>
      <c r="L510" s="76"/>
      <c r="M510" s="76"/>
      <c r="N510" s="76"/>
      <c r="O510" s="76"/>
      <c r="P510" s="76"/>
      <c r="Q510" s="76"/>
      <c r="R510" s="76"/>
      <c r="S510" s="76"/>
      <c r="T510" s="76"/>
      <c r="U510" s="76"/>
      <c r="V510" s="76"/>
      <c r="W510" s="76"/>
      <c r="X510" s="76"/>
      <c r="Y510" s="76"/>
      <c r="Z510" s="76"/>
      <c r="AA510" s="76"/>
      <c r="AB510" s="76"/>
    </row>
    <row r="511" spans="6:28">
      <c r="F511" s="76"/>
      <c r="G511" s="76"/>
      <c r="H511" s="76"/>
      <c r="I511" s="76"/>
      <c r="J511" s="76"/>
      <c r="K511" s="76"/>
      <c r="L511" s="76"/>
      <c r="M511" s="76"/>
      <c r="N511" s="76"/>
      <c r="O511" s="76"/>
      <c r="P511" s="76"/>
      <c r="Q511" s="76"/>
      <c r="R511" s="76"/>
      <c r="S511" s="76"/>
      <c r="T511" s="76"/>
      <c r="U511" s="76"/>
      <c r="V511" s="76"/>
      <c r="W511" s="76"/>
      <c r="X511" s="76"/>
      <c r="Y511" s="76"/>
      <c r="Z511" s="76"/>
      <c r="AA511" s="76"/>
      <c r="AB511" s="76"/>
    </row>
    <row r="512" spans="6:28">
      <c r="F512" s="76"/>
      <c r="G512" s="76"/>
      <c r="H512" s="76"/>
      <c r="I512" s="76"/>
      <c r="J512" s="76"/>
      <c r="K512" s="76"/>
      <c r="L512" s="76"/>
      <c r="M512" s="76"/>
      <c r="N512" s="76"/>
      <c r="O512" s="76"/>
      <c r="P512" s="76"/>
      <c r="Q512" s="76"/>
      <c r="R512" s="76"/>
      <c r="S512" s="76"/>
      <c r="T512" s="76"/>
      <c r="U512" s="76"/>
      <c r="V512" s="76"/>
      <c r="W512" s="76"/>
      <c r="X512" s="76"/>
      <c r="Y512" s="76"/>
      <c r="Z512" s="76"/>
      <c r="AA512" s="76"/>
      <c r="AB512" s="76"/>
    </row>
    <row r="513" spans="6:28">
      <c r="F513" s="76"/>
      <c r="G513" s="76"/>
      <c r="H513" s="76"/>
      <c r="I513" s="76"/>
      <c r="J513" s="76"/>
      <c r="K513" s="76"/>
      <c r="L513" s="76"/>
      <c r="M513" s="76"/>
      <c r="N513" s="76"/>
      <c r="O513" s="76"/>
      <c r="P513" s="76"/>
      <c r="Q513" s="76"/>
      <c r="R513" s="76"/>
      <c r="S513" s="76"/>
      <c r="T513" s="76"/>
      <c r="U513" s="76"/>
      <c r="V513" s="76"/>
      <c r="W513" s="76"/>
      <c r="X513" s="76"/>
      <c r="Y513" s="76"/>
      <c r="Z513" s="76"/>
      <c r="AA513" s="76"/>
      <c r="AB513" s="76"/>
    </row>
    <row r="514" spans="6:28">
      <c r="F514" s="76"/>
      <c r="G514" s="76"/>
      <c r="H514" s="76"/>
      <c r="I514" s="76"/>
      <c r="J514" s="76"/>
      <c r="K514" s="76"/>
      <c r="L514" s="76"/>
      <c r="M514" s="76"/>
      <c r="N514" s="76"/>
      <c r="O514" s="76"/>
      <c r="P514" s="76"/>
      <c r="Q514" s="76"/>
      <c r="R514" s="76"/>
      <c r="S514" s="76"/>
      <c r="T514" s="76"/>
      <c r="U514" s="76"/>
      <c r="V514" s="76"/>
      <c r="W514" s="76"/>
      <c r="X514" s="76"/>
      <c r="Y514" s="76"/>
      <c r="Z514" s="76"/>
      <c r="AA514" s="76"/>
      <c r="AB514" s="76"/>
    </row>
    <row r="515" spans="6:28">
      <c r="F515" s="76"/>
      <c r="G515" s="76"/>
      <c r="H515" s="76"/>
      <c r="I515" s="76"/>
      <c r="J515" s="76"/>
      <c r="K515" s="76"/>
      <c r="L515" s="76"/>
      <c r="M515" s="76"/>
      <c r="N515" s="76"/>
      <c r="O515" s="76"/>
      <c r="P515" s="76"/>
      <c r="Q515" s="76"/>
      <c r="R515" s="76"/>
      <c r="S515" s="76"/>
      <c r="T515" s="76"/>
      <c r="U515" s="76"/>
      <c r="V515" s="76"/>
      <c r="W515" s="76"/>
      <c r="X515" s="76"/>
      <c r="Y515" s="76"/>
      <c r="Z515" s="76"/>
      <c r="AA515" s="76"/>
      <c r="AB515" s="76"/>
    </row>
    <row r="516" spans="6:28">
      <c r="F516" s="76"/>
      <c r="G516" s="76"/>
      <c r="H516" s="76"/>
      <c r="I516" s="76"/>
      <c r="J516" s="76"/>
      <c r="K516" s="76"/>
      <c r="L516" s="76"/>
      <c r="M516" s="76"/>
      <c r="N516" s="76"/>
      <c r="O516" s="76"/>
      <c r="P516" s="76"/>
      <c r="Q516" s="76"/>
      <c r="R516" s="76"/>
      <c r="S516" s="76"/>
      <c r="T516" s="76"/>
      <c r="U516" s="76"/>
      <c r="V516" s="76"/>
      <c r="W516" s="76"/>
      <c r="X516" s="76"/>
      <c r="Y516" s="76"/>
      <c r="Z516" s="76"/>
      <c r="AA516" s="76"/>
      <c r="AB516" s="76"/>
    </row>
    <row r="517" spans="6:28">
      <c r="F517" s="76"/>
      <c r="G517" s="76"/>
      <c r="H517" s="76"/>
      <c r="I517" s="76"/>
      <c r="J517" s="76"/>
      <c r="K517" s="76"/>
      <c r="L517" s="76"/>
      <c r="M517" s="76"/>
      <c r="N517" s="76"/>
      <c r="O517" s="76"/>
      <c r="P517" s="76"/>
      <c r="Q517" s="76"/>
      <c r="R517" s="76"/>
      <c r="S517" s="76"/>
      <c r="T517" s="76"/>
      <c r="U517" s="76"/>
      <c r="V517" s="76"/>
      <c r="W517" s="76"/>
      <c r="X517" s="76"/>
      <c r="Y517" s="76"/>
      <c r="Z517" s="76"/>
      <c r="AA517" s="76"/>
      <c r="AB517" s="76"/>
    </row>
    <row r="518" spans="6:28">
      <c r="F518" s="76"/>
      <c r="G518" s="76"/>
      <c r="H518" s="76"/>
      <c r="I518" s="76"/>
      <c r="J518" s="76"/>
      <c r="K518" s="76"/>
      <c r="L518" s="76"/>
      <c r="M518" s="76"/>
      <c r="N518" s="76"/>
      <c r="O518" s="76"/>
      <c r="P518" s="76"/>
      <c r="Q518" s="76"/>
      <c r="R518" s="76"/>
      <c r="S518" s="76"/>
      <c r="T518" s="76"/>
      <c r="U518" s="76"/>
      <c r="V518" s="76"/>
      <c r="W518" s="76"/>
      <c r="X518" s="76"/>
      <c r="Y518" s="76"/>
      <c r="Z518" s="76"/>
      <c r="AA518" s="76"/>
      <c r="AB518" s="76"/>
    </row>
    <row r="519" spans="6:28">
      <c r="F519" s="76"/>
      <c r="G519" s="76"/>
      <c r="H519" s="76"/>
      <c r="I519" s="76"/>
      <c r="J519" s="76"/>
      <c r="K519" s="76"/>
      <c r="L519" s="76"/>
      <c r="M519" s="76"/>
      <c r="N519" s="76"/>
      <c r="O519" s="76"/>
      <c r="P519" s="76"/>
      <c r="Q519" s="76"/>
      <c r="R519" s="76"/>
      <c r="S519" s="76"/>
      <c r="T519" s="76"/>
      <c r="U519" s="76"/>
      <c r="V519" s="76"/>
      <c r="W519" s="76"/>
      <c r="X519" s="76"/>
      <c r="Y519" s="76"/>
      <c r="Z519" s="76"/>
      <c r="AA519" s="76"/>
      <c r="AB519" s="76"/>
    </row>
    <row r="520" spans="6:28">
      <c r="F520" s="76"/>
      <c r="G520" s="76"/>
      <c r="H520" s="76"/>
      <c r="I520" s="76"/>
      <c r="J520" s="76"/>
      <c r="K520" s="76"/>
      <c r="L520" s="76"/>
      <c r="M520" s="76"/>
      <c r="N520" s="76"/>
      <c r="O520" s="76"/>
      <c r="P520" s="76"/>
      <c r="Q520" s="76"/>
      <c r="R520" s="76"/>
      <c r="S520" s="76"/>
      <c r="T520" s="76"/>
      <c r="U520" s="76"/>
      <c r="V520" s="76"/>
      <c r="W520" s="76"/>
      <c r="X520" s="76"/>
      <c r="Y520" s="76"/>
      <c r="Z520" s="76"/>
      <c r="AA520" s="76"/>
      <c r="AB520" s="76"/>
    </row>
    <row r="521" spans="6:28">
      <c r="F521" s="76"/>
      <c r="G521" s="76"/>
      <c r="H521" s="76"/>
      <c r="I521" s="76"/>
      <c r="J521" s="76"/>
      <c r="K521" s="76"/>
      <c r="L521" s="76"/>
      <c r="M521" s="76"/>
      <c r="N521" s="76"/>
      <c r="O521" s="76"/>
      <c r="P521" s="76"/>
      <c r="Q521" s="76"/>
      <c r="R521" s="76"/>
      <c r="S521" s="76"/>
      <c r="T521" s="76"/>
      <c r="U521" s="76"/>
      <c r="V521" s="76"/>
      <c r="W521" s="76"/>
      <c r="X521" s="76"/>
      <c r="Y521" s="76"/>
      <c r="Z521" s="76"/>
      <c r="AA521" s="76"/>
      <c r="AB521" s="76"/>
    </row>
    <row r="522" spans="6:28">
      <c r="F522" s="76"/>
      <c r="G522" s="76"/>
      <c r="H522" s="76"/>
      <c r="I522" s="76"/>
      <c r="J522" s="76"/>
      <c r="K522" s="76"/>
      <c r="L522" s="76"/>
      <c r="M522" s="76"/>
      <c r="N522" s="76"/>
      <c r="O522" s="76"/>
      <c r="P522" s="76"/>
      <c r="Q522" s="76"/>
      <c r="R522" s="76"/>
      <c r="S522" s="76"/>
      <c r="T522" s="76"/>
      <c r="U522" s="76"/>
      <c r="V522" s="76"/>
      <c r="W522" s="76"/>
      <c r="X522" s="76"/>
      <c r="Y522" s="76"/>
      <c r="Z522" s="76"/>
      <c r="AA522" s="76"/>
      <c r="AB522" s="76"/>
    </row>
    <row r="523" spans="6:28">
      <c r="F523" s="76"/>
      <c r="G523" s="76"/>
      <c r="H523" s="76"/>
      <c r="I523" s="76"/>
      <c r="J523" s="76"/>
      <c r="K523" s="76"/>
      <c r="L523" s="76"/>
      <c r="M523" s="76"/>
      <c r="N523" s="76"/>
      <c r="O523" s="76"/>
      <c r="P523" s="76"/>
      <c r="Q523" s="76"/>
      <c r="R523" s="76"/>
      <c r="S523" s="76"/>
      <c r="T523" s="76"/>
      <c r="U523" s="76"/>
      <c r="V523" s="76"/>
      <c r="W523" s="76"/>
      <c r="X523" s="76"/>
      <c r="Y523" s="76"/>
      <c r="Z523" s="76"/>
      <c r="AA523" s="76"/>
      <c r="AB523" s="76"/>
    </row>
    <row r="524" spans="6:28">
      <c r="F524" s="76"/>
      <c r="G524" s="76"/>
      <c r="H524" s="76"/>
      <c r="I524" s="76"/>
      <c r="J524" s="76"/>
      <c r="K524" s="76"/>
      <c r="L524" s="76"/>
      <c r="M524" s="76"/>
      <c r="N524" s="76"/>
      <c r="O524" s="76"/>
      <c r="P524" s="76"/>
      <c r="Q524" s="76"/>
      <c r="R524" s="76"/>
      <c r="S524" s="76"/>
      <c r="T524" s="76"/>
      <c r="U524" s="76"/>
      <c r="V524" s="76"/>
      <c r="W524" s="76"/>
      <c r="X524" s="76"/>
      <c r="Y524" s="76"/>
      <c r="Z524" s="76"/>
      <c r="AA524" s="76"/>
      <c r="AB524" s="76"/>
    </row>
    <row r="525" spans="6:28">
      <c r="F525" s="76"/>
      <c r="G525" s="76"/>
      <c r="H525" s="76"/>
      <c r="I525" s="76"/>
      <c r="J525" s="76"/>
      <c r="K525" s="76"/>
      <c r="L525" s="76"/>
      <c r="M525" s="76"/>
      <c r="N525" s="76"/>
      <c r="O525" s="76"/>
      <c r="P525" s="76"/>
      <c r="Q525" s="76"/>
      <c r="R525" s="76"/>
      <c r="S525" s="76"/>
      <c r="T525" s="76"/>
      <c r="U525" s="76"/>
      <c r="V525" s="76"/>
      <c r="W525" s="76"/>
      <c r="X525" s="76"/>
      <c r="Y525" s="76"/>
      <c r="Z525" s="76"/>
      <c r="AA525" s="76"/>
      <c r="AB525" s="76"/>
    </row>
    <row r="526" spans="6:28">
      <c r="F526" s="76"/>
      <c r="G526" s="76"/>
      <c r="H526" s="76"/>
      <c r="I526" s="76"/>
      <c r="J526" s="76"/>
      <c r="K526" s="76"/>
      <c r="L526" s="76"/>
      <c r="M526" s="76"/>
      <c r="N526" s="76"/>
      <c r="O526" s="76"/>
      <c r="P526" s="76"/>
      <c r="Q526" s="76"/>
      <c r="R526" s="76"/>
      <c r="S526" s="76"/>
      <c r="T526" s="76"/>
      <c r="U526" s="76"/>
      <c r="V526" s="76"/>
      <c r="W526" s="76"/>
      <c r="X526" s="76"/>
      <c r="Y526" s="76"/>
      <c r="Z526" s="76"/>
      <c r="AA526" s="76"/>
      <c r="AB526" s="76"/>
    </row>
    <row r="527" spans="6:28">
      <c r="F527" s="76"/>
      <c r="G527" s="76"/>
      <c r="H527" s="76"/>
      <c r="I527" s="76"/>
      <c r="J527" s="76"/>
      <c r="K527" s="76"/>
      <c r="L527" s="76"/>
      <c r="M527" s="76"/>
      <c r="N527" s="76"/>
      <c r="O527" s="76"/>
      <c r="P527" s="76"/>
      <c r="Q527" s="76"/>
      <c r="R527" s="76"/>
      <c r="S527" s="76"/>
      <c r="T527" s="76"/>
      <c r="U527" s="76"/>
      <c r="V527" s="76"/>
      <c r="W527" s="76"/>
      <c r="X527" s="76"/>
      <c r="Y527" s="76"/>
      <c r="Z527" s="76"/>
      <c r="AA527" s="76"/>
      <c r="AB527" s="76"/>
    </row>
    <row r="528" spans="6:28">
      <c r="F528" s="76"/>
      <c r="G528" s="76"/>
      <c r="H528" s="76"/>
      <c r="I528" s="76"/>
      <c r="J528" s="76"/>
      <c r="K528" s="76"/>
      <c r="L528" s="76"/>
      <c r="M528" s="76"/>
      <c r="N528" s="76"/>
      <c r="O528" s="76"/>
      <c r="P528" s="76"/>
      <c r="Q528" s="76"/>
      <c r="R528" s="76"/>
      <c r="S528" s="76"/>
      <c r="T528" s="76"/>
      <c r="U528" s="76"/>
      <c r="V528" s="76"/>
      <c r="W528" s="76"/>
      <c r="X528" s="76"/>
      <c r="Y528" s="76"/>
      <c r="Z528" s="76"/>
      <c r="AA528" s="76"/>
      <c r="AB528" s="76"/>
    </row>
    <row r="529" spans="6:28">
      <c r="F529" s="76"/>
      <c r="G529" s="76"/>
      <c r="H529" s="76"/>
      <c r="I529" s="76"/>
      <c r="J529" s="76"/>
      <c r="K529" s="76"/>
      <c r="L529" s="76"/>
      <c r="M529" s="76"/>
      <c r="N529" s="76"/>
      <c r="O529" s="76"/>
      <c r="P529" s="76"/>
      <c r="Q529" s="76"/>
      <c r="R529" s="76"/>
      <c r="S529" s="76"/>
      <c r="T529" s="76"/>
      <c r="U529" s="76"/>
      <c r="V529" s="76"/>
      <c r="W529" s="76"/>
      <c r="X529" s="76"/>
      <c r="Y529" s="76"/>
      <c r="Z529" s="76"/>
      <c r="AA529" s="76"/>
      <c r="AB529" s="76"/>
    </row>
    <row r="530" spans="6:28">
      <c r="F530" s="76"/>
      <c r="G530" s="76"/>
      <c r="H530" s="76"/>
      <c r="I530" s="76"/>
      <c r="J530" s="76"/>
      <c r="K530" s="76"/>
      <c r="L530" s="76"/>
      <c r="M530" s="76"/>
      <c r="N530" s="76"/>
      <c r="O530" s="76"/>
      <c r="P530" s="76"/>
      <c r="Q530" s="76"/>
      <c r="R530" s="76"/>
      <c r="S530" s="76"/>
      <c r="T530" s="76"/>
      <c r="U530" s="76"/>
      <c r="V530" s="76"/>
      <c r="W530" s="76"/>
      <c r="X530" s="76"/>
      <c r="Y530" s="76"/>
      <c r="Z530" s="76"/>
      <c r="AA530" s="76"/>
      <c r="AB530" s="76"/>
    </row>
    <row r="531" spans="6:28">
      <c r="F531" s="76"/>
      <c r="G531" s="76"/>
      <c r="H531" s="76"/>
      <c r="I531" s="76"/>
      <c r="J531" s="76"/>
      <c r="K531" s="76"/>
      <c r="L531" s="76"/>
      <c r="M531" s="76"/>
      <c r="N531" s="76"/>
      <c r="O531" s="76"/>
      <c r="P531" s="76"/>
      <c r="Q531" s="76"/>
      <c r="R531" s="76"/>
      <c r="S531" s="76"/>
      <c r="T531" s="76"/>
      <c r="U531" s="76"/>
      <c r="V531" s="76"/>
      <c r="W531" s="76"/>
      <c r="X531" s="76"/>
      <c r="Y531" s="76"/>
      <c r="Z531" s="76"/>
      <c r="AA531" s="76"/>
      <c r="AB531" s="76"/>
    </row>
    <row r="532" spans="6:28">
      <c r="F532" s="76"/>
      <c r="G532" s="76"/>
      <c r="H532" s="76"/>
      <c r="I532" s="76"/>
      <c r="J532" s="76"/>
      <c r="K532" s="76"/>
      <c r="L532" s="76"/>
      <c r="M532" s="76"/>
      <c r="N532" s="76"/>
      <c r="O532" s="76"/>
      <c r="P532" s="76"/>
      <c r="Q532" s="76"/>
      <c r="R532" s="76"/>
      <c r="S532" s="76"/>
      <c r="T532" s="76"/>
      <c r="U532" s="76"/>
      <c r="V532" s="76"/>
      <c r="W532" s="76"/>
      <c r="X532" s="76"/>
      <c r="Y532" s="76"/>
      <c r="Z532" s="76"/>
      <c r="AA532" s="76"/>
      <c r="AB532" s="76"/>
    </row>
    <row r="533" spans="6:28">
      <c r="F533" s="76"/>
      <c r="G533" s="76"/>
      <c r="H533" s="76"/>
      <c r="I533" s="76"/>
      <c r="J533" s="76"/>
      <c r="K533" s="76"/>
      <c r="L533" s="76"/>
      <c r="M533" s="76"/>
      <c r="N533" s="76"/>
      <c r="O533" s="76"/>
      <c r="P533" s="76"/>
      <c r="Q533" s="76"/>
      <c r="R533" s="76"/>
      <c r="S533" s="76"/>
      <c r="T533" s="76"/>
      <c r="U533" s="76"/>
      <c r="V533" s="76"/>
      <c r="W533" s="76"/>
      <c r="X533" s="76"/>
      <c r="Y533" s="76"/>
      <c r="Z533" s="76"/>
      <c r="AA533" s="76"/>
      <c r="AB533" s="76"/>
    </row>
    <row r="534" spans="6:28">
      <c r="F534" s="76"/>
      <c r="G534" s="76"/>
      <c r="H534" s="76"/>
      <c r="I534" s="76"/>
      <c r="J534" s="76"/>
      <c r="K534" s="76"/>
      <c r="L534" s="76"/>
      <c r="M534" s="76"/>
      <c r="N534" s="76"/>
      <c r="O534" s="76"/>
      <c r="P534" s="76"/>
      <c r="Q534" s="76"/>
      <c r="R534" s="76"/>
      <c r="S534" s="76"/>
      <c r="T534" s="76"/>
      <c r="U534" s="76"/>
      <c r="V534" s="76"/>
      <c r="W534" s="76"/>
      <c r="X534" s="76"/>
      <c r="Y534" s="76"/>
      <c r="Z534" s="76"/>
      <c r="AA534" s="76"/>
      <c r="AB534" s="76"/>
    </row>
    <row r="535" spans="6:28">
      <c r="F535" s="76"/>
      <c r="G535" s="76"/>
      <c r="H535" s="76"/>
      <c r="I535" s="76"/>
      <c r="J535" s="76"/>
      <c r="K535" s="76"/>
      <c r="L535" s="76"/>
      <c r="M535" s="76"/>
      <c r="N535" s="76"/>
      <c r="O535" s="76"/>
      <c r="P535" s="76"/>
      <c r="Q535" s="76"/>
      <c r="R535" s="76"/>
      <c r="S535" s="76"/>
      <c r="T535" s="76"/>
      <c r="U535" s="76"/>
      <c r="V535" s="76"/>
      <c r="W535" s="76"/>
      <c r="X535" s="76"/>
      <c r="Y535" s="76"/>
      <c r="Z535" s="76"/>
      <c r="AA535" s="76"/>
      <c r="AB535" s="76"/>
    </row>
    <row r="536" spans="6:28">
      <c r="F536" s="76"/>
      <c r="G536" s="76"/>
      <c r="H536" s="76"/>
      <c r="I536" s="76"/>
      <c r="J536" s="76"/>
      <c r="K536" s="76"/>
      <c r="L536" s="76"/>
      <c r="M536" s="76"/>
      <c r="N536" s="76"/>
      <c r="O536" s="76"/>
      <c r="P536" s="76"/>
      <c r="Q536" s="76"/>
      <c r="R536" s="76"/>
      <c r="S536" s="76"/>
      <c r="T536" s="76"/>
      <c r="U536" s="76"/>
      <c r="V536" s="76"/>
      <c r="W536" s="76"/>
      <c r="X536" s="76"/>
      <c r="Y536" s="76"/>
      <c r="Z536" s="76"/>
      <c r="AA536" s="76"/>
      <c r="AB536" s="76"/>
    </row>
    <row r="537" spans="6:28">
      <c r="F537" s="76"/>
      <c r="G537" s="76"/>
      <c r="H537" s="76"/>
      <c r="I537" s="76"/>
      <c r="J537" s="76"/>
      <c r="K537" s="76"/>
      <c r="L537" s="76"/>
      <c r="M537" s="76"/>
      <c r="N537" s="76"/>
      <c r="O537" s="76"/>
      <c r="P537" s="76"/>
      <c r="Q537" s="76"/>
      <c r="R537" s="76"/>
      <c r="S537" s="76"/>
      <c r="T537" s="76"/>
      <c r="U537" s="76"/>
      <c r="V537" s="76"/>
      <c r="W537" s="76"/>
      <c r="X537" s="76"/>
      <c r="Y537" s="76"/>
      <c r="Z537" s="76"/>
      <c r="AA537" s="76"/>
      <c r="AB537" s="76"/>
    </row>
    <row r="538" spans="6:28">
      <c r="F538" s="76"/>
      <c r="G538" s="76"/>
      <c r="H538" s="76"/>
      <c r="I538" s="76"/>
      <c r="J538" s="76"/>
      <c r="K538" s="76"/>
      <c r="L538" s="76"/>
      <c r="M538" s="76"/>
      <c r="N538" s="76"/>
      <c r="O538" s="76"/>
      <c r="P538" s="76"/>
      <c r="Q538" s="76"/>
      <c r="R538" s="76"/>
      <c r="S538" s="76"/>
      <c r="T538" s="76"/>
      <c r="U538" s="76"/>
      <c r="V538" s="76"/>
      <c r="W538" s="76"/>
      <c r="X538" s="76"/>
      <c r="Y538" s="76"/>
      <c r="Z538" s="76"/>
      <c r="AA538" s="76"/>
      <c r="AB538" s="76"/>
    </row>
    <row r="539" spans="6:28">
      <c r="F539" s="76"/>
      <c r="G539" s="76"/>
      <c r="H539" s="76"/>
      <c r="I539" s="76"/>
      <c r="J539" s="76"/>
      <c r="K539" s="76"/>
      <c r="L539" s="76"/>
      <c r="M539" s="76"/>
      <c r="N539" s="76"/>
      <c r="O539" s="76"/>
      <c r="P539" s="76"/>
      <c r="Q539" s="76"/>
      <c r="R539" s="76"/>
      <c r="S539" s="76"/>
      <c r="T539" s="76"/>
      <c r="U539" s="76"/>
      <c r="V539" s="76"/>
      <c r="W539" s="76"/>
      <c r="X539" s="76"/>
      <c r="Y539" s="76"/>
      <c r="Z539" s="76"/>
      <c r="AA539" s="76"/>
      <c r="AB539" s="76"/>
    </row>
    <row r="540" spans="6:28">
      <c r="F540" s="76"/>
      <c r="G540" s="76"/>
      <c r="H540" s="76"/>
      <c r="I540" s="76"/>
      <c r="J540" s="76"/>
      <c r="K540" s="76"/>
      <c r="L540" s="76"/>
      <c r="M540" s="76"/>
      <c r="N540" s="76"/>
      <c r="O540" s="76"/>
      <c r="P540" s="76"/>
      <c r="Q540" s="76"/>
      <c r="R540" s="76"/>
      <c r="S540" s="76"/>
      <c r="T540" s="76"/>
      <c r="U540" s="76"/>
      <c r="V540" s="76"/>
      <c r="W540" s="76"/>
      <c r="X540" s="76"/>
      <c r="Y540" s="76"/>
      <c r="Z540" s="76"/>
      <c r="AA540" s="76"/>
      <c r="AB540" s="76"/>
    </row>
    <row r="541" spans="6:28">
      <c r="F541" s="76"/>
      <c r="G541" s="76"/>
      <c r="H541" s="76"/>
      <c r="I541" s="76"/>
      <c r="J541" s="76"/>
      <c r="K541" s="76"/>
      <c r="L541" s="76"/>
      <c r="M541" s="76"/>
      <c r="N541" s="76"/>
      <c r="O541" s="76"/>
      <c r="P541" s="76"/>
      <c r="Q541" s="76"/>
      <c r="R541" s="76"/>
      <c r="S541" s="76"/>
      <c r="T541" s="76"/>
      <c r="U541" s="76"/>
      <c r="V541" s="76"/>
      <c r="W541" s="76"/>
      <c r="X541" s="76"/>
      <c r="Y541" s="76"/>
      <c r="Z541" s="76"/>
      <c r="AA541" s="76"/>
      <c r="AB541" s="76"/>
    </row>
    <row r="542" spans="6:28">
      <c r="F542" s="76"/>
      <c r="G542" s="76"/>
      <c r="H542" s="76"/>
      <c r="I542" s="76"/>
      <c r="J542" s="76"/>
      <c r="K542" s="76"/>
      <c r="L542" s="76"/>
      <c r="M542" s="76"/>
      <c r="N542" s="76"/>
      <c r="O542" s="76"/>
      <c r="P542" s="76"/>
      <c r="Q542" s="76"/>
      <c r="R542" s="76"/>
      <c r="S542" s="76"/>
      <c r="T542" s="76"/>
      <c r="U542" s="76"/>
      <c r="V542" s="76"/>
      <c r="W542" s="76"/>
      <c r="X542" s="76"/>
      <c r="Y542" s="76"/>
      <c r="Z542" s="76"/>
      <c r="AA542" s="76"/>
      <c r="AB542" s="76"/>
    </row>
    <row r="543" spans="6:28">
      <c r="F543" s="76"/>
      <c r="G543" s="76"/>
      <c r="H543" s="76"/>
      <c r="I543" s="76"/>
      <c r="J543" s="76"/>
      <c r="K543" s="76"/>
      <c r="L543" s="76"/>
      <c r="M543" s="76"/>
      <c r="N543" s="76"/>
      <c r="O543" s="76"/>
      <c r="P543" s="76"/>
      <c r="Q543" s="76"/>
      <c r="R543" s="76"/>
      <c r="S543" s="76"/>
      <c r="T543" s="76"/>
      <c r="U543" s="76"/>
      <c r="V543" s="76"/>
      <c r="W543" s="76"/>
      <c r="X543" s="76"/>
      <c r="Y543" s="76"/>
      <c r="Z543" s="76"/>
      <c r="AA543" s="76"/>
      <c r="AB543" s="76"/>
    </row>
    <row r="544" spans="6:28">
      <c r="F544" s="76"/>
      <c r="G544" s="76"/>
      <c r="H544" s="76"/>
      <c r="I544" s="76"/>
      <c r="J544" s="76"/>
      <c r="K544" s="76"/>
      <c r="L544" s="76"/>
      <c r="M544" s="76"/>
      <c r="N544" s="76"/>
      <c r="O544" s="76"/>
      <c r="P544" s="76"/>
      <c r="Q544" s="76"/>
      <c r="R544" s="76"/>
      <c r="S544" s="76"/>
      <c r="T544" s="76"/>
      <c r="U544" s="76"/>
      <c r="V544" s="76"/>
      <c r="W544" s="76"/>
      <c r="X544" s="76"/>
      <c r="Y544" s="76"/>
      <c r="Z544" s="76"/>
      <c r="AA544" s="76"/>
      <c r="AB544" s="76"/>
    </row>
    <row r="545" spans="6:28">
      <c r="F545" s="76"/>
      <c r="G545" s="76"/>
      <c r="H545" s="76"/>
      <c r="I545" s="76"/>
      <c r="J545" s="76"/>
      <c r="K545" s="76"/>
      <c r="L545" s="76"/>
      <c r="M545" s="76"/>
      <c r="N545" s="76"/>
      <c r="O545" s="76"/>
      <c r="P545" s="76"/>
      <c r="Q545" s="76"/>
      <c r="R545" s="76"/>
      <c r="S545" s="76"/>
      <c r="T545" s="76"/>
      <c r="U545" s="76"/>
      <c r="V545" s="76"/>
      <c r="W545" s="76"/>
      <c r="X545" s="76"/>
      <c r="Y545" s="76"/>
      <c r="Z545" s="76"/>
      <c r="AA545" s="76"/>
      <c r="AB545" s="76"/>
    </row>
    <row r="546" spans="6:28">
      <c r="F546" s="76"/>
      <c r="G546" s="76"/>
      <c r="H546" s="76"/>
      <c r="I546" s="76"/>
      <c r="J546" s="76"/>
      <c r="K546" s="76"/>
      <c r="L546" s="76"/>
      <c r="M546" s="76"/>
      <c r="N546" s="76"/>
      <c r="O546" s="76"/>
      <c r="P546" s="76"/>
      <c r="Q546" s="76"/>
      <c r="R546" s="76"/>
      <c r="S546" s="76"/>
      <c r="T546" s="76"/>
      <c r="U546" s="76"/>
      <c r="V546" s="76"/>
      <c r="W546" s="76"/>
      <c r="X546" s="76"/>
      <c r="Y546" s="76"/>
      <c r="Z546" s="76"/>
      <c r="AA546" s="76"/>
      <c r="AB546" s="76"/>
    </row>
    <row r="547" spans="6:28">
      <c r="F547" s="76"/>
      <c r="G547" s="76"/>
      <c r="H547" s="76"/>
      <c r="I547" s="76"/>
      <c r="J547" s="76"/>
      <c r="K547" s="76"/>
      <c r="L547" s="76"/>
      <c r="M547" s="76"/>
      <c r="N547" s="76"/>
      <c r="O547" s="76"/>
      <c r="P547" s="76"/>
      <c r="Q547" s="76"/>
      <c r="R547" s="76"/>
      <c r="S547" s="76"/>
      <c r="T547" s="76"/>
      <c r="U547" s="76"/>
      <c r="V547" s="76"/>
      <c r="W547" s="76"/>
      <c r="X547" s="76"/>
      <c r="Y547" s="76"/>
      <c r="Z547" s="76"/>
      <c r="AA547" s="76"/>
      <c r="AB547" s="76"/>
    </row>
    <row r="548" spans="6:28">
      <c r="F548" s="76"/>
      <c r="G548" s="76"/>
      <c r="H548" s="76"/>
      <c r="I548" s="76"/>
      <c r="J548" s="76"/>
      <c r="K548" s="76"/>
      <c r="L548" s="76"/>
      <c r="M548" s="76"/>
      <c r="N548" s="76"/>
      <c r="O548" s="76"/>
      <c r="P548" s="76"/>
      <c r="Q548" s="76"/>
      <c r="R548" s="76"/>
      <c r="S548" s="76"/>
      <c r="T548" s="76"/>
      <c r="U548" s="76"/>
      <c r="V548" s="76"/>
      <c r="W548" s="76"/>
      <c r="X548" s="76"/>
      <c r="Y548" s="76"/>
      <c r="Z548" s="76"/>
      <c r="AA548" s="76"/>
      <c r="AB548" s="76"/>
    </row>
    <row r="549" spans="6:28">
      <c r="F549" s="76"/>
      <c r="G549" s="76"/>
      <c r="H549" s="76"/>
      <c r="I549" s="76"/>
      <c r="J549" s="76"/>
      <c r="K549" s="76"/>
      <c r="L549" s="76"/>
      <c r="M549" s="76"/>
      <c r="N549" s="76"/>
      <c r="O549" s="76"/>
      <c r="P549" s="76"/>
      <c r="Q549" s="76"/>
      <c r="R549" s="76"/>
      <c r="S549" s="76"/>
      <c r="T549" s="76"/>
      <c r="U549" s="76"/>
      <c r="V549" s="76"/>
      <c r="W549" s="76"/>
      <c r="X549" s="76"/>
      <c r="Y549" s="76"/>
      <c r="Z549" s="76"/>
      <c r="AA549" s="76"/>
      <c r="AB549" s="76"/>
    </row>
    <row r="550" spans="6:28">
      <c r="F550" s="76"/>
      <c r="G550" s="76"/>
      <c r="H550" s="76"/>
      <c r="I550" s="76"/>
      <c r="J550" s="76"/>
      <c r="K550" s="76"/>
      <c r="L550" s="76"/>
      <c r="M550" s="76"/>
      <c r="N550" s="76"/>
      <c r="O550" s="76"/>
      <c r="P550" s="76"/>
      <c r="Q550" s="76"/>
      <c r="R550" s="76"/>
      <c r="S550" s="76"/>
      <c r="T550" s="76"/>
      <c r="U550" s="76"/>
      <c r="V550" s="76"/>
      <c r="W550" s="76"/>
      <c r="X550" s="76"/>
      <c r="Y550" s="76"/>
      <c r="Z550" s="76"/>
      <c r="AA550" s="76"/>
      <c r="AB550" s="76"/>
    </row>
    <row r="551" spans="6:28">
      <c r="F551" s="76"/>
      <c r="G551" s="76"/>
      <c r="H551" s="76"/>
      <c r="I551" s="76"/>
      <c r="J551" s="76"/>
      <c r="K551" s="76"/>
      <c r="L551" s="76"/>
      <c r="M551" s="76"/>
      <c r="N551" s="76"/>
      <c r="O551" s="76"/>
      <c r="P551" s="76"/>
      <c r="Q551" s="76"/>
      <c r="R551" s="76"/>
      <c r="S551" s="76"/>
      <c r="T551" s="76"/>
      <c r="U551" s="76"/>
      <c r="V551" s="76"/>
      <c r="W551" s="76"/>
      <c r="X551" s="76"/>
      <c r="Y551" s="76"/>
      <c r="Z551" s="76"/>
      <c r="AA551" s="76"/>
      <c r="AB551" s="76"/>
    </row>
    <row r="552" spans="6:28">
      <c r="F552" s="76"/>
      <c r="G552" s="76"/>
      <c r="H552" s="76"/>
      <c r="I552" s="76"/>
      <c r="J552" s="76"/>
      <c r="K552" s="76"/>
      <c r="L552" s="76"/>
      <c r="M552" s="76"/>
      <c r="N552" s="76"/>
      <c r="O552" s="76"/>
      <c r="P552" s="76"/>
      <c r="Q552" s="76"/>
      <c r="R552" s="76"/>
      <c r="S552" s="76"/>
      <c r="T552" s="76"/>
      <c r="U552" s="76"/>
      <c r="V552" s="76"/>
      <c r="W552" s="76"/>
      <c r="X552" s="76"/>
      <c r="Y552" s="76"/>
      <c r="Z552" s="76"/>
      <c r="AA552" s="76"/>
      <c r="AB552" s="76"/>
    </row>
    <row r="553" spans="6:28">
      <c r="F553" s="76"/>
      <c r="G553" s="76"/>
      <c r="H553" s="76"/>
      <c r="I553" s="76"/>
      <c r="J553" s="76"/>
      <c r="K553" s="76"/>
      <c r="L553" s="76"/>
      <c r="M553" s="76"/>
      <c r="N553" s="76"/>
      <c r="O553" s="76"/>
      <c r="P553" s="76"/>
      <c r="Q553" s="76"/>
      <c r="R553" s="76"/>
      <c r="S553" s="76"/>
      <c r="T553" s="76"/>
      <c r="U553" s="76"/>
      <c r="V553" s="76"/>
      <c r="W553" s="76"/>
      <c r="X553" s="76"/>
      <c r="Y553" s="76"/>
      <c r="Z553" s="76"/>
      <c r="AA553" s="76"/>
      <c r="AB553" s="76"/>
    </row>
    <row r="554" spans="6:28">
      <c r="F554" s="76"/>
      <c r="G554" s="76"/>
      <c r="H554" s="76"/>
      <c r="I554" s="76"/>
      <c r="J554" s="76"/>
      <c r="K554" s="76"/>
      <c r="L554" s="76"/>
      <c r="M554" s="76"/>
      <c r="N554" s="76"/>
      <c r="O554" s="76"/>
      <c r="P554" s="76"/>
      <c r="Q554" s="76"/>
      <c r="R554" s="76"/>
      <c r="S554" s="76"/>
      <c r="T554" s="76"/>
      <c r="U554" s="76"/>
      <c r="V554" s="76"/>
      <c r="W554" s="76"/>
      <c r="X554" s="76"/>
      <c r="Y554" s="76"/>
      <c r="Z554" s="76"/>
      <c r="AA554" s="76"/>
      <c r="AB554" s="76"/>
    </row>
    <row r="555" spans="6:28">
      <c r="F555" s="76"/>
      <c r="G555" s="76"/>
      <c r="H555" s="76"/>
      <c r="I555" s="76"/>
      <c r="J555" s="76"/>
      <c r="K555" s="76"/>
      <c r="L555" s="76"/>
      <c r="M555" s="76"/>
      <c r="N555" s="76"/>
      <c r="O555" s="76"/>
      <c r="P555" s="76"/>
      <c r="Q555" s="76"/>
      <c r="R555" s="76"/>
      <c r="S555" s="76"/>
      <c r="T555" s="76"/>
      <c r="U555" s="76"/>
      <c r="V555" s="76"/>
      <c r="W555" s="76"/>
      <c r="X555" s="76"/>
      <c r="Y555" s="76"/>
      <c r="Z555" s="76"/>
      <c r="AA555" s="76"/>
      <c r="AB555" s="76"/>
    </row>
    <row r="556" spans="6:28">
      <c r="F556" s="76"/>
      <c r="G556" s="76"/>
      <c r="H556" s="76"/>
      <c r="I556" s="76"/>
      <c r="J556" s="76"/>
      <c r="K556" s="76"/>
      <c r="L556" s="76"/>
      <c r="M556" s="76"/>
      <c r="N556" s="76"/>
      <c r="O556" s="76"/>
      <c r="P556" s="76"/>
      <c r="Q556" s="76"/>
      <c r="R556" s="76"/>
      <c r="S556" s="76"/>
      <c r="T556" s="76"/>
      <c r="U556" s="76"/>
      <c r="V556" s="76"/>
      <c r="W556" s="76"/>
      <c r="X556" s="76"/>
      <c r="Y556" s="76"/>
      <c r="Z556" s="76"/>
      <c r="AA556" s="76"/>
      <c r="AB556" s="76"/>
    </row>
    <row r="557" spans="6:28">
      <c r="F557" s="76"/>
      <c r="G557" s="76"/>
      <c r="H557" s="76"/>
      <c r="I557" s="76"/>
      <c r="J557" s="76"/>
      <c r="K557" s="76"/>
      <c r="L557" s="76"/>
      <c r="M557" s="76"/>
      <c r="N557" s="76"/>
      <c r="O557" s="76"/>
      <c r="P557" s="76"/>
      <c r="Q557" s="76"/>
      <c r="R557" s="76"/>
      <c r="S557" s="76"/>
      <c r="T557" s="76"/>
      <c r="U557" s="76"/>
      <c r="V557" s="76"/>
      <c r="W557" s="76"/>
      <c r="X557" s="76"/>
      <c r="Y557" s="76"/>
      <c r="Z557" s="76"/>
      <c r="AA557" s="76"/>
      <c r="AB557" s="76"/>
    </row>
    <row r="558" spans="6:28">
      <c r="F558" s="76"/>
      <c r="G558" s="76"/>
      <c r="H558" s="76"/>
      <c r="I558" s="76"/>
      <c r="J558" s="76"/>
      <c r="K558" s="76"/>
      <c r="L558" s="76"/>
      <c r="M558" s="76"/>
      <c r="N558" s="76"/>
      <c r="O558" s="76"/>
      <c r="P558" s="76"/>
      <c r="Q558" s="76"/>
      <c r="R558" s="76"/>
      <c r="S558" s="76"/>
      <c r="T558" s="76"/>
      <c r="U558" s="76"/>
      <c r="V558" s="76"/>
      <c r="W558" s="76"/>
      <c r="X558" s="76"/>
      <c r="Y558" s="76"/>
      <c r="Z558" s="76"/>
      <c r="AA558" s="76"/>
      <c r="AB558" s="76"/>
    </row>
    <row r="559" spans="6:28">
      <c r="F559" s="76"/>
      <c r="G559" s="76"/>
      <c r="H559" s="76"/>
      <c r="I559" s="76"/>
      <c r="J559" s="76"/>
      <c r="K559" s="76"/>
      <c r="L559" s="76"/>
      <c r="M559" s="76"/>
      <c r="N559" s="76"/>
      <c r="O559" s="76"/>
      <c r="P559" s="76"/>
      <c r="Q559" s="76"/>
      <c r="R559" s="76"/>
      <c r="S559" s="76"/>
      <c r="T559" s="76"/>
      <c r="U559" s="76"/>
      <c r="V559" s="76"/>
      <c r="W559" s="76"/>
      <c r="X559" s="76"/>
      <c r="Y559" s="76"/>
      <c r="Z559" s="76"/>
      <c r="AA559" s="76"/>
      <c r="AB559" s="76"/>
    </row>
    <row r="560" spans="6:28">
      <c r="F560" s="76"/>
      <c r="G560" s="76"/>
      <c r="H560" s="76"/>
      <c r="I560" s="76"/>
      <c r="J560" s="76"/>
      <c r="K560" s="76"/>
      <c r="L560" s="76"/>
      <c r="M560" s="76"/>
      <c r="N560" s="76"/>
      <c r="O560" s="76"/>
      <c r="P560" s="76"/>
      <c r="Q560" s="76"/>
      <c r="R560" s="76"/>
      <c r="S560" s="76"/>
      <c r="T560" s="76"/>
      <c r="U560" s="76"/>
      <c r="V560" s="76"/>
      <c r="W560" s="76"/>
      <c r="X560" s="76"/>
      <c r="Y560" s="76"/>
      <c r="Z560" s="76"/>
      <c r="AA560" s="76"/>
      <c r="AB560" s="76"/>
    </row>
    <row r="561" spans="6:28">
      <c r="F561" s="76"/>
      <c r="G561" s="76"/>
      <c r="H561" s="76"/>
      <c r="I561" s="76"/>
      <c r="J561" s="76"/>
      <c r="K561" s="76"/>
      <c r="L561" s="76"/>
      <c r="M561" s="76"/>
      <c r="N561" s="76"/>
      <c r="O561" s="76"/>
      <c r="P561" s="76"/>
      <c r="Q561" s="76"/>
      <c r="R561" s="76"/>
      <c r="S561" s="76"/>
      <c r="T561" s="76"/>
      <c r="U561" s="76"/>
      <c r="V561" s="76"/>
      <c r="W561" s="76"/>
      <c r="X561" s="76"/>
      <c r="Y561" s="76"/>
      <c r="Z561" s="76"/>
      <c r="AA561" s="76"/>
      <c r="AB561" s="76"/>
    </row>
    <row r="562" spans="6:28">
      <c r="F562" s="76"/>
      <c r="G562" s="76"/>
      <c r="H562" s="76"/>
      <c r="I562" s="76"/>
      <c r="J562" s="76"/>
      <c r="K562" s="76"/>
      <c r="L562" s="76"/>
      <c r="M562" s="76"/>
      <c r="N562" s="76"/>
      <c r="O562" s="76"/>
      <c r="P562" s="76"/>
      <c r="Q562" s="76"/>
      <c r="R562" s="76"/>
      <c r="S562" s="76"/>
      <c r="T562" s="76"/>
      <c r="U562" s="76"/>
      <c r="V562" s="76"/>
      <c r="W562" s="76"/>
      <c r="X562" s="76"/>
      <c r="Y562" s="76"/>
      <c r="Z562" s="76"/>
      <c r="AA562" s="76"/>
      <c r="AB562" s="76"/>
    </row>
    <row r="563" spans="6:28">
      <c r="F563" s="76"/>
      <c r="G563" s="76"/>
      <c r="H563" s="76"/>
      <c r="I563" s="76"/>
      <c r="J563" s="76"/>
      <c r="K563" s="76"/>
      <c r="L563" s="76"/>
      <c r="M563" s="76"/>
      <c r="N563" s="76"/>
      <c r="O563" s="76"/>
      <c r="P563" s="76"/>
      <c r="Q563" s="76"/>
      <c r="R563" s="76"/>
      <c r="S563" s="76"/>
      <c r="T563" s="76"/>
      <c r="U563" s="76"/>
      <c r="V563" s="76"/>
      <c r="W563" s="76"/>
      <c r="X563" s="76"/>
      <c r="Y563" s="76"/>
      <c r="Z563" s="76"/>
      <c r="AA563" s="76"/>
      <c r="AB563" s="76"/>
    </row>
    <row r="564" spans="6:28">
      <c r="F564" s="76"/>
      <c r="G564" s="76"/>
      <c r="H564" s="76"/>
      <c r="I564" s="76"/>
      <c r="J564" s="76"/>
      <c r="K564" s="76"/>
      <c r="L564" s="76"/>
      <c r="M564" s="76"/>
      <c r="N564" s="76"/>
      <c r="O564" s="76"/>
      <c r="P564" s="76"/>
      <c r="Q564" s="76"/>
      <c r="R564" s="76"/>
      <c r="S564" s="76"/>
      <c r="T564" s="76"/>
      <c r="U564" s="76"/>
      <c r="V564" s="76"/>
      <c r="W564" s="76"/>
      <c r="X564" s="76"/>
      <c r="Y564" s="76"/>
      <c r="Z564" s="76"/>
      <c r="AA564" s="76"/>
      <c r="AB564" s="76"/>
    </row>
    <row r="565" spans="6:28">
      <c r="F565" s="76"/>
      <c r="G565" s="76"/>
      <c r="H565" s="76"/>
      <c r="I565" s="76"/>
      <c r="J565" s="76"/>
      <c r="K565" s="76"/>
      <c r="L565" s="76"/>
      <c r="M565" s="76"/>
      <c r="N565" s="76"/>
      <c r="O565" s="76"/>
      <c r="P565" s="76"/>
      <c r="Q565" s="76"/>
      <c r="R565" s="76"/>
      <c r="S565" s="76"/>
      <c r="T565" s="76"/>
      <c r="U565" s="76"/>
      <c r="V565" s="76"/>
      <c r="W565" s="76"/>
      <c r="X565" s="76"/>
      <c r="Y565" s="76"/>
      <c r="Z565" s="76"/>
      <c r="AA565" s="76"/>
      <c r="AB565" s="76"/>
    </row>
    <row r="566" spans="6:28">
      <c r="F566" s="76"/>
      <c r="G566" s="76"/>
      <c r="H566" s="76"/>
      <c r="I566" s="76"/>
      <c r="J566" s="76"/>
      <c r="K566" s="76"/>
      <c r="L566" s="76"/>
      <c r="M566" s="76"/>
      <c r="N566" s="76"/>
      <c r="O566" s="76"/>
      <c r="P566" s="76"/>
      <c r="Q566" s="76"/>
      <c r="R566" s="76"/>
      <c r="S566" s="76"/>
      <c r="T566" s="76"/>
      <c r="U566" s="76"/>
      <c r="V566" s="76"/>
      <c r="W566" s="76"/>
      <c r="X566" s="76"/>
      <c r="Y566" s="76"/>
      <c r="Z566" s="76"/>
      <c r="AA566" s="76"/>
      <c r="AB566" s="76"/>
    </row>
    <row r="567" spans="6:28">
      <c r="F567" s="76"/>
      <c r="G567" s="76"/>
      <c r="H567" s="76"/>
      <c r="I567" s="76"/>
      <c r="J567" s="76"/>
      <c r="K567" s="76"/>
      <c r="L567" s="76"/>
      <c r="M567" s="76"/>
      <c r="N567" s="76"/>
      <c r="O567" s="76"/>
      <c r="P567" s="76"/>
      <c r="Q567" s="76"/>
      <c r="R567" s="76"/>
      <c r="S567" s="76"/>
      <c r="T567" s="76"/>
      <c r="U567" s="76"/>
      <c r="V567" s="76"/>
      <c r="W567" s="76"/>
      <c r="X567" s="76"/>
      <c r="Y567" s="76"/>
      <c r="Z567" s="76"/>
      <c r="AA567" s="76"/>
      <c r="AB567" s="76"/>
    </row>
    <row r="568" spans="6:28">
      <c r="F568" s="76"/>
      <c r="G568" s="76"/>
      <c r="H568" s="76"/>
      <c r="I568" s="76"/>
      <c r="J568" s="76"/>
      <c r="K568" s="76"/>
      <c r="L568" s="76"/>
      <c r="M568" s="76"/>
      <c r="N568" s="76"/>
      <c r="O568" s="76"/>
      <c r="P568" s="76"/>
      <c r="Q568" s="76"/>
      <c r="R568" s="76"/>
      <c r="S568" s="76"/>
      <c r="T568" s="76"/>
      <c r="U568" s="76"/>
      <c r="V568" s="76"/>
      <c r="W568" s="76"/>
      <c r="X568" s="76"/>
      <c r="Y568" s="76"/>
      <c r="Z568" s="76"/>
      <c r="AA568" s="76"/>
      <c r="AB568" s="76"/>
    </row>
    <row r="569" spans="6:28">
      <c r="F569" s="76"/>
      <c r="G569" s="76"/>
      <c r="H569" s="76"/>
      <c r="I569" s="76"/>
      <c r="J569" s="76"/>
      <c r="K569" s="76"/>
      <c r="L569" s="76"/>
      <c r="M569" s="76"/>
      <c r="N569" s="76"/>
      <c r="O569" s="76"/>
      <c r="P569" s="76"/>
      <c r="Q569" s="76"/>
      <c r="R569" s="76"/>
      <c r="S569" s="76"/>
      <c r="T569" s="76"/>
      <c r="U569" s="76"/>
      <c r="V569" s="76"/>
      <c r="W569" s="76"/>
      <c r="X569" s="76"/>
      <c r="Y569" s="76"/>
      <c r="Z569" s="76"/>
      <c r="AA569" s="76"/>
      <c r="AB569" s="76"/>
    </row>
    <row r="570" spans="6:28">
      <c r="F570" s="76"/>
      <c r="G570" s="76"/>
      <c r="H570" s="76"/>
      <c r="I570" s="76"/>
      <c r="J570" s="76"/>
      <c r="K570" s="76"/>
      <c r="L570" s="76"/>
      <c r="M570" s="76"/>
      <c r="N570" s="76"/>
      <c r="O570" s="76"/>
      <c r="P570" s="76"/>
      <c r="Q570" s="76"/>
      <c r="R570" s="76"/>
      <c r="S570" s="76"/>
      <c r="T570" s="76"/>
      <c r="U570" s="76"/>
      <c r="V570" s="76"/>
      <c r="W570" s="76"/>
      <c r="X570" s="76"/>
      <c r="Y570" s="76"/>
      <c r="Z570" s="76"/>
      <c r="AA570" s="76"/>
      <c r="AB570" s="76"/>
    </row>
    <row r="571" spans="6:28">
      <c r="F571" s="76"/>
      <c r="G571" s="76"/>
      <c r="H571" s="76"/>
      <c r="I571" s="76"/>
      <c r="J571" s="76"/>
      <c r="K571" s="76"/>
      <c r="L571" s="76"/>
      <c r="M571" s="76"/>
      <c r="N571" s="76"/>
      <c r="O571" s="76"/>
      <c r="P571" s="76"/>
      <c r="Q571" s="76"/>
      <c r="R571" s="76"/>
      <c r="S571" s="76"/>
      <c r="T571" s="76"/>
      <c r="U571" s="76"/>
      <c r="V571" s="76"/>
      <c r="W571" s="76"/>
      <c r="X571" s="76"/>
      <c r="Y571" s="76"/>
      <c r="Z571" s="76"/>
      <c r="AA571" s="76"/>
      <c r="AB571" s="76"/>
    </row>
    <row r="572" spans="6:28">
      <c r="F572" s="76"/>
      <c r="G572" s="76"/>
      <c r="H572" s="76"/>
      <c r="I572" s="76"/>
      <c r="J572" s="76"/>
      <c r="K572" s="76"/>
      <c r="L572" s="76"/>
      <c r="M572" s="76"/>
      <c r="N572" s="76"/>
      <c r="O572" s="76"/>
      <c r="P572" s="76"/>
      <c r="Q572" s="76"/>
      <c r="R572" s="76"/>
      <c r="S572" s="76"/>
      <c r="T572" s="76"/>
      <c r="U572" s="76"/>
      <c r="V572" s="76"/>
      <c r="W572" s="76"/>
      <c r="X572" s="76"/>
      <c r="Y572" s="76"/>
      <c r="Z572" s="76"/>
      <c r="AA572" s="76"/>
      <c r="AB572" s="76"/>
    </row>
    <row r="573" spans="6:28">
      <c r="F573" s="76"/>
      <c r="G573" s="76"/>
      <c r="H573" s="76"/>
      <c r="I573" s="76"/>
      <c r="J573" s="76"/>
      <c r="K573" s="76"/>
      <c r="L573" s="76"/>
      <c r="M573" s="76"/>
      <c r="N573" s="76"/>
      <c r="O573" s="76"/>
      <c r="P573" s="76"/>
      <c r="Q573" s="76"/>
      <c r="R573" s="76"/>
      <c r="S573" s="76"/>
      <c r="T573" s="76"/>
      <c r="U573" s="76"/>
      <c r="V573" s="76"/>
      <c r="W573" s="76"/>
      <c r="X573" s="76"/>
      <c r="Y573" s="76"/>
      <c r="Z573" s="76"/>
      <c r="AA573" s="76"/>
      <c r="AB573" s="76"/>
    </row>
    <row r="574" spans="6:28">
      <c r="F574" s="76"/>
      <c r="G574" s="76"/>
      <c r="H574" s="76"/>
      <c r="I574" s="76"/>
      <c r="J574" s="76"/>
      <c r="K574" s="76"/>
      <c r="L574" s="76"/>
      <c r="M574" s="76"/>
      <c r="N574" s="76"/>
      <c r="O574" s="76"/>
      <c r="P574" s="76"/>
      <c r="Q574" s="76"/>
      <c r="R574" s="76"/>
      <c r="S574" s="76"/>
      <c r="T574" s="76"/>
      <c r="U574" s="76"/>
      <c r="V574" s="76"/>
      <c r="W574" s="76"/>
      <c r="X574" s="76"/>
      <c r="Y574" s="76"/>
      <c r="Z574" s="76"/>
      <c r="AA574" s="76"/>
      <c r="AB574" s="76"/>
    </row>
    <row r="575" spans="6:28">
      <c r="F575" s="76"/>
      <c r="G575" s="76"/>
      <c r="H575" s="76"/>
      <c r="I575" s="76"/>
      <c r="J575" s="76"/>
      <c r="K575" s="76"/>
      <c r="L575" s="76"/>
      <c r="M575" s="76"/>
      <c r="N575" s="76"/>
      <c r="O575" s="76"/>
      <c r="P575" s="76"/>
      <c r="Q575" s="76"/>
      <c r="R575" s="76"/>
      <c r="S575" s="76"/>
      <c r="T575" s="76"/>
      <c r="U575" s="76"/>
      <c r="V575" s="76"/>
      <c r="W575" s="76"/>
      <c r="X575" s="76"/>
      <c r="Y575" s="76"/>
      <c r="Z575" s="76"/>
      <c r="AA575" s="76"/>
      <c r="AB575" s="76"/>
    </row>
    <row r="576" spans="6:28">
      <c r="F576" s="76"/>
      <c r="G576" s="76"/>
      <c r="H576" s="76"/>
      <c r="I576" s="76"/>
      <c r="J576" s="76"/>
      <c r="K576" s="76"/>
      <c r="L576" s="76"/>
      <c r="M576" s="76"/>
      <c r="N576" s="76"/>
      <c r="O576" s="76"/>
      <c r="P576" s="76"/>
      <c r="Q576" s="76"/>
      <c r="R576" s="76"/>
      <c r="S576" s="76"/>
      <c r="T576" s="76"/>
      <c r="U576" s="76"/>
      <c r="V576" s="76"/>
      <c r="W576" s="76"/>
      <c r="X576" s="76"/>
      <c r="Y576" s="76"/>
      <c r="Z576" s="76"/>
      <c r="AA576" s="76"/>
      <c r="AB576" s="76"/>
    </row>
    <row r="577" spans="6:28">
      <c r="F577" s="76"/>
      <c r="G577" s="76"/>
      <c r="H577" s="76"/>
      <c r="I577" s="76"/>
      <c r="J577" s="76"/>
      <c r="K577" s="76"/>
      <c r="L577" s="76"/>
      <c r="M577" s="76"/>
      <c r="N577" s="76"/>
      <c r="O577" s="76"/>
      <c r="P577" s="76"/>
      <c r="Q577" s="76"/>
      <c r="R577" s="76"/>
      <c r="S577" s="76"/>
      <c r="T577" s="76"/>
      <c r="U577" s="76"/>
      <c r="V577" s="76"/>
      <c r="W577" s="76"/>
      <c r="X577" s="76"/>
      <c r="Y577" s="76"/>
      <c r="Z577" s="76"/>
      <c r="AA577" s="76"/>
      <c r="AB577" s="76"/>
    </row>
    <row r="578" spans="6:28">
      <c r="F578" s="76"/>
      <c r="G578" s="76"/>
      <c r="H578" s="76"/>
      <c r="I578" s="76"/>
      <c r="J578" s="76"/>
      <c r="K578" s="76"/>
      <c r="L578" s="76"/>
      <c r="M578" s="76"/>
      <c r="N578" s="76"/>
      <c r="O578" s="76"/>
      <c r="P578" s="76"/>
      <c r="Q578" s="76"/>
      <c r="R578" s="76"/>
      <c r="S578" s="76"/>
      <c r="T578" s="76"/>
      <c r="U578" s="76"/>
      <c r="V578" s="76"/>
      <c r="W578" s="76"/>
      <c r="X578" s="76"/>
      <c r="Y578" s="76"/>
      <c r="Z578" s="76"/>
      <c r="AA578" s="76"/>
      <c r="AB578" s="76"/>
    </row>
    <row r="579" spans="6:28">
      <c r="F579" s="76"/>
      <c r="G579" s="76"/>
      <c r="H579" s="76"/>
      <c r="I579" s="76"/>
      <c r="J579" s="76"/>
      <c r="K579" s="76"/>
      <c r="L579" s="76"/>
      <c r="M579" s="76"/>
      <c r="N579" s="76"/>
      <c r="O579" s="76"/>
      <c r="P579" s="76"/>
      <c r="Q579" s="76"/>
      <c r="R579" s="76"/>
      <c r="S579" s="76"/>
      <c r="T579" s="76"/>
      <c r="U579" s="76"/>
      <c r="V579" s="76"/>
      <c r="W579" s="76"/>
      <c r="X579" s="76"/>
      <c r="Y579" s="76"/>
      <c r="Z579" s="76"/>
      <c r="AA579" s="76"/>
      <c r="AB579" s="76"/>
    </row>
    <row r="580" spans="6:28">
      <c r="F580" s="76"/>
      <c r="G580" s="76"/>
      <c r="H580" s="76"/>
      <c r="I580" s="76"/>
      <c r="J580" s="76"/>
      <c r="K580" s="76"/>
      <c r="L580" s="76"/>
      <c r="M580" s="76"/>
      <c r="N580" s="76"/>
      <c r="O580" s="76"/>
      <c r="P580" s="76"/>
      <c r="Q580" s="76"/>
      <c r="R580" s="76"/>
      <c r="S580" s="76"/>
      <c r="T580" s="76"/>
      <c r="U580" s="76"/>
      <c r="V580" s="76"/>
      <c r="W580" s="76"/>
      <c r="X580" s="76"/>
      <c r="Y580" s="76"/>
      <c r="Z580" s="76"/>
      <c r="AA580" s="76"/>
      <c r="AB580" s="76"/>
    </row>
    <row r="581" spans="6:28">
      <c r="F581" s="76"/>
      <c r="G581" s="76"/>
      <c r="H581" s="76"/>
      <c r="I581" s="76"/>
      <c r="J581" s="76"/>
      <c r="K581" s="76"/>
      <c r="L581" s="76"/>
      <c r="M581" s="76"/>
      <c r="N581" s="76"/>
      <c r="O581" s="76"/>
      <c r="P581" s="76"/>
      <c r="Q581" s="76"/>
      <c r="R581" s="76"/>
      <c r="S581" s="76"/>
      <c r="T581" s="76"/>
      <c r="U581" s="76"/>
      <c r="V581" s="76"/>
      <c r="W581" s="76"/>
      <c r="X581" s="76"/>
      <c r="Y581" s="76"/>
      <c r="Z581" s="76"/>
      <c r="AA581" s="76"/>
      <c r="AB581" s="76"/>
    </row>
    <row r="582" spans="6:28">
      <c r="F582" s="76"/>
      <c r="G582" s="76"/>
      <c r="H582" s="76"/>
      <c r="I582" s="76"/>
      <c r="J582" s="76"/>
      <c r="K582" s="76"/>
      <c r="L582" s="76"/>
      <c r="M582" s="76"/>
      <c r="N582" s="76"/>
      <c r="O582" s="76"/>
      <c r="P582" s="76"/>
      <c r="Q582" s="76"/>
      <c r="R582" s="76"/>
      <c r="S582" s="76"/>
      <c r="T582" s="76"/>
      <c r="U582" s="76"/>
      <c r="V582" s="76"/>
      <c r="W582" s="76"/>
      <c r="X582" s="76"/>
      <c r="Y582" s="76"/>
      <c r="Z582" s="76"/>
      <c r="AA582" s="76"/>
      <c r="AB582" s="76"/>
    </row>
    <row r="583" spans="6:28">
      <c r="F583" s="76"/>
      <c r="G583" s="76"/>
      <c r="H583" s="76"/>
      <c r="I583" s="76"/>
      <c r="J583" s="76"/>
      <c r="K583" s="76"/>
      <c r="L583" s="76"/>
      <c r="M583" s="76"/>
      <c r="N583" s="76"/>
      <c r="O583" s="76"/>
      <c r="P583" s="76"/>
      <c r="Q583" s="76"/>
      <c r="R583" s="76"/>
      <c r="S583" s="76"/>
      <c r="T583" s="76"/>
      <c r="U583" s="76"/>
      <c r="V583" s="76"/>
      <c r="W583" s="76"/>
      <c r="X583" s="76"/>
      <c r="Y583" s="76"/>
      <c r="Z583" s="76"/>
      <c r="AA583" s="76"/>
      <c r="AB583" s="76"/>
    </row>
    <row r="584" spans="6:28">
      <c r="F584" s="76"/>
      <c r="G584" s="76"/>
      <c r="H584" s="76"/>
      <c r="I584" s="76"/>
      <c r="J584" s="76"/>
      <c r="K584" s="76"/>
      <c r="L584" s="76"/>
      <c r="M584" s="76"/>
      <c r="N584" s="76"/>
      <c r="O584" s="76"/>
      <c r="P584" s="76"/>
      <c r="Q584" s="76"/>
      <c r="R584" s="76"/>
      <c r="S584" s="76"/>
      <c r="T584" s="76"/>
      <c r="U584" s="76"/>
      <c r="V584" s="76"/>
      <c r="W584" s="76"/>
      <c r="X584" s="76"/>
      <c r="Y584" s="76"/>
      <c r="Z584" s="76"/>
      <c r="AA584" s="76"/>
      <c r="AB584" s="76"/>
    </row>
    <row r="585" spans="6:28">
      <c r="F585" s="76"/>
      <c r="G585" s="76"/>
      <c r="H585" s="76"/>
      <c r="I585" s="76"/>
      <c r="J585" s="76"/>
      <c r="K585" s="76"/>
      <c r="L585" s="76"/>
      <c r="M585" s="76"/>
      <c r="N585" s="76"/>
      <c r="O585" s="76"/>
      <c r="P585" s="76"/>
      <c r="Q585" s="76"/>
      <c r="R585" s="76"/>
      <c r="S585" s="76"/>
      <c r="T585" s="76"/>
      <c r="U585" s="76"/>
      <c r="V585" s="76"/>
      <c r="W585" s="76"/>
      <c r="X585" s="76"/>
      <c r="Y585" s="76"/>
      <c r="Z585" s="76"/>
      <c r="AA585" s="76"/>
      <c r="AB585" s="76"/>
    </row>
    <row r="586" spans="6:28">
      <c r="F586" s="76"/>
      <c r="G586" s="76"/>
      <c r="H586" s="76"/>
      <c r="I586" s="76"/>
      <c r="J586" s="76"/>
      <c r="K586" s="76"/>
      <c r="L586" s="76"/>
      <c r="M586" s="76"/>
      <c r="N586" s="76"/>
      <c r="O586" s="76"/>
      <c r="P586" s="76"/>
      <c r="Q586" s="76"/>
      <c r="R586" s="76"/>
      <c r="S586" s="76"/>
      <c r="T586" s="76"/>
      <c r="U586" s="76"/>
      <c r="V586" s="76"/>
      <c r="W586" s="76"/>
      <c r="X586" s="76"/>
      <c r="Y586" s="76"/>
      <c r="Z586" s="76"/>
      <c r="AA586" s="76"/>
      <c r="AB586" s="76"/>
    </row>
    <row r="587" spans="6:28">
      <c r="F587" s="76"/>
      <c r="G587" s="76"/>
      <c r="H587" s="76"/>
      <c r="I587" s="76"/>
      <c r="J587" s="76"/>
      <c r="K587" s="76"/>
      <c r="L587" s="76"/>
      <c r="M587" s="76"/>
      <c r="N587" s="76"/>
      <c r="O587" s="76"/>
      <c r="P587" s="76"/>
      <c r="Q587" s="76"/>
      <c r="R587" s="76"/>
      <c r="S587" s="76"/>
      <c r="T587" s="76"/>
      <c r="U587" s="76"/>
      <c r="V587" s="76"/>
      <c r="W587" s="76"/>
      <c r="X587" s="76"/>
      <c r="Y587" s="76"/>
      <c r="Z587" s="76"/>
      <c r="AA587" s="76"/>
      <c r="AB587" s="76"/>
    </row>
    <row r="588" spans="6:28">
      <c r="F588" s="76"/>
      <c r="G588" s="76"/>
      <c r="H588" s="76"/>
      <c r="I588" s="76"/>
      <c r="J588" s="76"/>
      <c r="K588" s="76"/>
      <c r="L588" s="76"/>
      <c r="M588" s="76"/>
      <c r="N588" s="76"/>
      <c r="O588" s="76"/>
      <c r="P588" s="76"/>
      <c r="Q588" s="76"/>
      <c r="R588" s="76"/>
      <c r="S588" s="76"/>
      <c r="T588" s="76"/>
      <c r="U588" s="76"/>
      <c r="V588" s="76"/>
      <c r="W588" s="76"/>
      <c r="X588" s="76"/>
      <c r="Y588" s="76"/>
      <c r="Z588" s="76"/>
      <c r="AA588" s="76"/>
      <c r="AB588" s="76"/>
    </row>
    <row r="589" spans="6:28">
      <c r="F589" s="76"/>
      <c r="G589" s="76"/>
      <c r="H589" s="76"/>
      <c r="I589" s="76"/>
      <c r="J589" s="76"/>
      <c r="K589" s="76"/>
      <c r="L589" s="76"/>
      <c r="M589" s="76"/>
      <c r="N589" s="76"/>
      <c r="O589" s="76"/>
      <c r="P589" s="76"/>
      <c r="Q589" s="76"/>
      <c r="R589" s="76"/>
      <c r="S589" s="76"/>
      <c r="T589" s="76"/>
      <c r="U589" s="76"/>
      <c r="V589" s="76"/>
      <c r="W589" s="76"/>
      <c r="X589" s="76"/>
      <c r="Y589" s="76"/>
      <c r="Z589" s="76"/>
      <c r="AA589" s="76"/>
      <c r="AB589" s="76"/>
    </row>
    <row r="590" spans="6:28">
      <c r="F590" s="76"/>
      <c r="G590" s="76"/>
      <c r="H590" s="76"/>
      <c r="I590" s="76"/>
      <c r="J590" s="76"/>
      <c r="K590" s="76"/>
      <c r="L590" s="76"/>
      <c r="M590" s="76"/>
      <c r="N590" s="76"/>
      <c r="O590" s="76"/>
      <c r="P590" s="76"/>
      <c r="Q590" s="76"/>
      <c r="R590" s="76"/>
      <c r="S590" s="76"/>
      <c r="T590" s="76"/>
      <c r="U590" s="76"/>
      <c r="V590" s="76"/>
      <c r="W590" s="76"/>
      <c r="X590" s="76"/>
      <c r="Y590" s="76"/>
      <c r="Z590" s="76"/>
      <c r="AA590" s="76"/>
      <c r="AB590" s="76"/>
    </row>
    <row r="591" spans="6:28">
      <c r="F591" s="76"/>
      <c r="G591" s="76"/>
      <c r="H591" s="76"/>
      <c r="I591" s="76"/>
      <c r="J591" s="76"/>
      <c r="K591" s="76"/>
      <c r="L591" s="76"/>
      <c r="M591" s="76"/>
      <c r="N591" s="76"/>
      <c r="O591" s="76"/>
      <c r="P591" s="76"/>
      <c r="Q591" s="76"/>
      <c r="R591" s="76"/>
      <c r="S591" s="76"/>
      <c r="T591" s="76"/>
      <c r="U591" s="76"/>
      <c r="V591" s="76"/>
      <c r="W591" s="76"/>
      <c r="X591" s="76"/>
      <c r="Y591" s="76"/>
      <c r="Z591" s="76"/>
      <c r="AA591" s="76"/>
      <c r="AB591" s="76"/>
    </row>
    <row r="592" spans="6:28">
      <c r="F592" s="76"/>
      <c r="G592" s="76"/>
      <c r="H592" s="76"/>
      <c r="I592" s="76"/>
      <c r="J592" s="76"/>
      <c r="K592" s="76"/>
      <c r="L592" s="76"/>
      <c r="M592" s="76"/>
      <c r="N592" s="76"/>
      <c r="O592" s="76"/>
      <c r="P592" s="76"/>
      <c r="Q592" s="76"/>
      <c r="R592" s="76"/>
      <c r="S592" s="76"/>
      <c r="T592" s="76"/>
      <c r="U592" s="76"/>
      <c r="V592" s="76"/>
      <c r="W592" s="76"/>
      <c r="X592" s="76"/>
      <c r="Y592" s="76"/>
      <c r="Z592" s="76"/>
      <c r="AA592" s="76"/>
      <c r="AB592" s="76"/>
    </row>
    <row r="593" spans="6:28">
      <c r="F593" s="76"/>
      <c r="G593" s="76"/>
      <c r="H593" s="76"/>
      <c r="I593" s="76"/>
      <c r="J593" s="76"/>
      <c r="K593" s="76"/>
      <c r="L593" s="76"/>
      <c r="M593" s="76"/>
      <c r="N593" s="76"/>
      <c r="O593" s="76"/>
      <c r="P593" s="76"/>
      <c r="Q593" s="76"/>
      <c r="R593" s="76"/>
      <c r="S593" s="76"/>
      <c r="T593" s="76"/>
      <c r="U593" s="76"/>
      <c r="V593" s="76"/>
      <c r="W593" s="76"/>
      <c r="X593" s="76"/>
      <c r="Y593" s="76"/>
      <c r="Z593" s="76"/>
      <c r="AA593" s="76"/>
      <c r="AB593" s="76"/>
    </row>
    <row r="594" spans="6:28">
      <c r="F594" s="76"/>
      <c r="G594" s="76"/>
      <c r="H594" s="76"/>
      <c r="I594" s="76"/>
      <c r="J594" s="76"/>
      <c r="K594" s="76"/>
      <c r="L594" s="76"/>
      <c r="M594" s="76"/>
      <c r="N594" s="76"/>
      <c r="O594" s="76"/>
      <c r="P594" s="76"/>
      <c r="Q594" s="76"/>
      <c r="R594" s="76"/>
      <c r="S594" s="76"/>
      <c r="T594" s="76"/>
      <c r="U594" s="76"/>
      <c r="V594" s="76"/>
      <c r="W594" s="76"/>
      <c r="X594" s="76"/>
      <c r="Y594" s="76"/>
      <c r="Z594" s="76"/>
      <c r="AA594" s="76"/>
      <c r="AB594" s="76"/>
    </row>
    <row r="595" spans="6:28">
      <c r="F595" s="76"/>
      <c r="G595" s="76"/>
      <c r="H595" s="76"/>
      <c r="I595" s="76"/>
      <c r="J595" s="76"/>
      <c r="K595" s="76"/>
      <c r="L595" s="76"/>
      <c r="M595" s="76"/>
      <c r="N595" s="76"/>
      <c r="O595" s="76"/>
      <c r="P595" s="76"/>
      <c r="Q595" s="76"/>
      <c r="R595" s="76"/>
      <c r="S595" s="76"/>
      <c r="T595" s="76"/>
      <c r="U595" s="76"/>
      <c r="V595" s="76"/>
      <c r="W595" s="76"/>
      <c r="X595" s="76"/>
      <c r="Y595" s="76"/>
      <c r="Z595" s="76"/>
      <c r="AA595" s="76"/>
      <c r="AB595" s="76"/>
    </row>
    <row r="596" spans="6:28">
      <c r="F596" s="76"/>
      <c r="G596" s="76"/>
      <c r="H596" s="76"/>
      <c r="I596" s="76"/>
      <c r="J596" s="76"/>
      <c r="K596" s="76"/>
      <c r="L596" s="76"/>
      <c r="M596" s="76"/>
      <c r="N596" s="76"/>
      <c r="O596" s="76"/>
      <c r="P596" s="76"/>
      <c r="Q596" s="76"/>
      <c r="R596" s="76"/>
      <c r="S596" s="76"/>
      <c r="T596" s="76"/>
      <c r="U596" s="76"/>
      <c r="V596" s="76"/>
      <c r="W596" s="76"/>
      <c r="X596" s="76"/>
      <c r="Y596" s="76"/>
      <c r="Z596" s="76"/>
      <c r="AA596" s="76"/>
      <c r="AB596" s="76"/>
    </row>
    <row r="597" spans="6:28">
      <c r="F597" s="76"/>
      <c r="G597" s="76"/>
      <c r="H597" s="76"/>
      <c r="I597" s="76"/>
      <c r="J597" s="76"/>
      <c r="K597" s="76"/>
      <c r="L597" s="76"/>
      <c r="M597" s="76"/>
      <c r="N597" s="76"/>
      <c r="O597" s="76"/>
      <c r="P597" s="76"/>
      <c r="Q597" s="76"/>
      <c r="R597" s="76"/>
      <c r="S597" s="76"/>
      <c r="T597" s="76"/>
      <c r="U597" s="76"/>
      <c r="V597" s="76"/>
      <c r="W597" s="76"/>
      <c r="X597" s="76"/>
      <c r="Y597" s="76"/>
      <c r="Z597" s="76"/>
      <c r="AA597" s="76"/>
      <c r="AB597" s="76"/>
    </row>
    <row r="598" spans="6:28">
      <c r="F598" s="76"/>
      <c r="G598" s="76"/>
      <c r="H598" s="76"/>
      <c r="I598" s="76"/>
      <c r="J598" s="76"/>
      <c r="K598" s="76"/>
      <c r="L598" s="76"/>
      <c r="M598" s="76"/>
      <c r="N598" s="76"/>
      <c r="O598" s="76"/>
      <c r="P598" s="76"/>
      <c r="Q598" s="76"/>
      <c r="R598" s="76"/>
      <c r="S598" s="76"/>
      <c r="T598" s="76"/>
      <c r="U598" s="76"/>
      <c r="V598" s="76"/>
      <c r="W598" s="76"/>
      <c r="X598" s="76"/>
      <c r="Y598" s="76"/>
      <c r="Z598" s="76"/>
      <c r="AA598" s="76"/>
      <c r="AB598" s="76"/>
    </row>
    <row r="599" spans="6:28">
      <c r="F599" s="76"/>
      <c r="G599" s="76"/>
      <c r="H599" s="76"/>
      <c r="I599" s="76"/>
      <c r="J599" s="76"/>
      <c r="K599" s="76"/>
      <c r="L599" s="76"/>
      <c r="M599" s="76"/>
      <c r="N599" s="76"/>
      <c r="O599" s="76"/>
      <c r="P599" s="76"/>
      <c r="Q599" s="76"/>
      <c r="R599" s="76"/>
      <c r="S599" s="76"/>
      <c r="T599" s="76"/>
      <c r="U599" s="76"/>
      <c r="V599" s="76"/>
      <c r="W599" s="76"/>
      <c r="X599" s="76"/>
      <c r="Y599" s="76"/>
      <c r="Z599" s="76"/>
      <c r="AA599" s="76"/>
      <c r="AB599" s="76"/>
    </row>
    <row r="600" spans="6:28">
      <c r="F600" s="76"/>
      <c r="G600" s="76"/>
      <c r="H600" s="76"/>
      <c r="I600" s="76"/>
      <c r="J600" s="76"/>
      <c r="K600" s="76"/>
      <c r="L600" s="76"/>
      <c r="M600" s="76"/>
      <c r="N600" s="76"/>
      <c r="O600" s="76"/>
      <c r="P600" s="76"/>
      <c r="Q600" s="76"/>
      <c r="R600" s="76"/>
      <c r="S600" s="76"/>
      <c r="T600" s="76"/>
      <c r="U600" s="76"/>
      <c r="V600" s="76"/>
      <c r="W600" s="76"/>
      <c r="X600" s="76"/>
      <c r="Y600" s="76"/>
      <c r="Z600" s="76"/>
      <c r="AA600" s="76"/>
      <c r="AB600" s="76"/>
    </row>
    <row r="601" spans="6:28">
      <c r="F601" s="76"/>
      <c r="G601" s="76"/>
      <c r="H601" s="76"/>
      <c r="I601" s="76"/>
      <c r="J601" s="76"/>
      <c r="K601" s="76"/>
      <c r="L601" s="76"/>
      <c r="M601" s="76"/>
      <c r="N601" s="76"/>
      <c r="O601" s="76"/>
      <c r="P601" s="76"/>
      <c r="Q601" s="76"/>
      <c r="R601" s="76"/>
      <c r="S601" s="76"/>
      <c r="T601" s="76"/>
      <c r="U601" s="76"/>
      <c r="V601" s="76"/>
      <c r="W601" s="76"/>
      <c r="X601" s="76"/>
      <c r="Y601" s="76"/>
      <c r="Z601" s="76"/>
      <c r="AA601" s="76"/>
      <c r="AB601" s="76"/>
    </row>
    <row r="602" spans="6:28">
      <c r="F602" s="76"/>
      <c r="G602" s="76"/>
      <c r="H602" s="76"/>
      <c r="I602" s="76"/>
      <c r="J602" s="76"/>
      <c r="K602" s="76"/>
      <c r="L602" s="76"/>
      <c r="M602" s="76"/>
      <c r="N602" s="76"/>
      <c r="O602" s="76"/>
      <c r="P602" s="76"/>
      <c r="Q602" s="76"/>
      <c r="R602" s="76"/>
      <c r="S602" s="76"/>
      <c r="T602" s="76"/>
      <c r="U602" s="76"/>
      <c r="V602" s="76"/>
      <c r="W602" s="76"/>
      <c r="X602" s="76"/>
      <c r="Y602" s="76"/>
      <c r="Z602" s="76"/>
      <c r="AA602" s="76"/>
      <c r="AB602" s="76"/>
    </row>
    <row r="603" spans="6:28">
      <c r="F603" s="76"/>
      <c r="G603" s="76"/>
      <c r="H603" s="76"/>
      <c r="I603" s="76"/>
      <c r="J603" s="76"/>
      <c r="K603" s="76"/>
      <c r="L603" s="76"/>
      <c r="M603" s="76"/>
      <c r="N603" s="76"/>
      <c r="O603" s="76"/>
      <c r="P603" s="76"/>
      <c r="Q603" s="76"/>
      <c r="R603" s="76"/>
      <c r="S603" s="76"/>
      <c r="T603" s="76"/>
      <c r="U603" s="76"/>
      <c r="V603" s="76"/>
      <c r="W603" s="76"/>
      <c r="X603" s="76"/>
      <c r="Y603" s="76"/>
      <c r="Z603" s="76"/>
      <c r="AA603" s="76"/>
      <c r="AB603" s="76"/>
    </row>
    <row r="604" spans="6:28">
      <c r="F604" s="76"/>
      <c r="G604" s="76"/>
      <c r="H604" s="76"/>
      <c r="I604" s="76"/>
      <c r="J604" s="76"/>
      <c r="K604" s="76"/>
      <c r="L604" s="76"/>
      <c r="M604" s="76"/>
      <c r="N604" s="76"/>
      <c r="O604" s="76"/>
      <c r="P604" s="76"/>
      <c r="Q604" s="76"/>
      <c r="R604" s="76"/>
      <c r="S604" s="76"/>
      <c r="T604" s="76"/>
      <c r="U604" s="76"/>
      <c r="V604" s="76"/>
      <c r="W604" s="76"/>
      <c r="X604" s="76"/>
      <c r="Y604" s="76"/>
      <c r="Z604" s="76"/>
      <c r="AA604" s="76"/>
      <c r="AB604" s="76"/>
    </row>
    <row r="605" spans="6:28">
      <c r="F605" s="76"/>
      <c r="G605" s="76"/>
      <c r="H605" s="76"/>
      <c r="I605" s="76"/>
      <c r="J605" s="76"/>
      <c r="K605" s="76"/>
      <c r="L605" s="76"/>
      <c r="M605" s="76"/>
      <c r="N605" s="76"/>
      <c r="O605" s="76"/>
      <c r="P605" s="76"/>
      <c r="Q605" s="76"/>
      <c r="R605" s="76"/>
      <c r="S605" s="76"/>
      <c r="T605" s="76"/>
      <c r="U605" s="76"/>
      <c r="V605" s="76"/>
      <c r="W605" s="76"/>
      <c r="X605" s="76"/>
      <c r="Y605" s="76"/>
      <c r="Z605" s="76"/>
      <c r="AA605" s="76"/>
      <c r="AB605" s="76"/>
    </row>
    <row r="606" spans="6:28">
      <c r="F606" s="76"/>
      <c r="G606" s="76"/>
      <c r="H606" s="76"/>
      <c r="I606" s="76"/>
      <c r="J606" s="76"/>
      <c r="K606" s="76"/>
      <c r="L606" s="76"/>
      <c r="M606" s="76"/>
      <c r="N606" s="76"/>
      <c r="O606" s="76"/>
      <c r="P606" s="76"/>
      <c r="Q606" s="76"/>
      <c r="R606" s="76"/>
      <c r="S606" s="76"/>
      <c r="T606" s="76"/>
      <c r="U606" s="76"/>
      <c r="V606" s="76"/>
      <c r="W606" s="76"/>
      <c r="X606" s="76"/>
      <c r="Y606" s="76"/>
      <c r="Z606" s="76"/>
      <c r="AA606" s="76"/>
      <c r="AB606" s="76"/>
    </row>
    <row r="607" spans="6:28">
      <c r="F607" s="76"/>
      <c r="G607" s="76"/>
      <c r="H607" s="76"/>
      <c r="I607" s="76"/>
      <c r="J607" s="76"/>
      <c r="K607" s="76"/>
      <c r="L607" s="76"/>
      <c r="M607" s="76"/>
      <c r="N607" s="76"/>
      <c r="O607" s="76"/>
      <c r="P607" s="76"/>
      <c r="Q607" s="76"/>
      <c r="R607" s="76"/>
      <c r="S607" s="76"/>
      <c r="T607" s="76"/>
      <c r="U607" s="76"/>
      <c r="V607" s="76"/>
      <c r="W607" s="76"/>
      <c r="X607" s="76"/>
      <c r="Y607" s="76"/>
      <c r="Z607" s="76"/>
      <c r="AA607" s="76"/>
      <c r="AB607" s="76"/>
    </row>
    <row r="608" spans="6:28">
      <c r="F608" s="76"/>
      <c r="G608" s="76"/>
      <c r="H608" s="76"/>
      <c r="I608" s="76"/>
      <c r="J608" s="76"/>
      <c r="K608" s="76"/>
      <c r="L608" s="76"/>
      <c r="M608" s="76"/>
      <c r="N608" s="76"/>
      <c r="O608" s="76"/>
      <c r="P608" s="76"/>
      <c r="Q608" s="76"/>
      <c r="R608" s="76"/>
      <c r="S608" s="76"/>
      <c r="T608" s="76"/>
      <c r="U608" s="76"/>
      <c r="V608" s="76"/>
      <c r="W608" s="76"/>
      <c r="X608" s="76"/>
      <c r="Y608" s="76"/>
      <c r="Z608" s="76"/>
      <c r="AA608" s="76"/>
      <c r="AB608" s="76"/>
    </row>
    <row r="609" spans="6:28">
      <c r="F609" s="76"/>
      <c r="G609" s="76"/>
      <c r="H609" s="76"/>
      <c r="I609" s="76"/>
      <c r="J609" s="76"/>
      <c r="K609" s="76"/>
      <c r="L609" s="76"/>
      <c r="M609" s="76"/>
      <c r="N609" s="76"/>
      <c r="O609" s="76"/>
      <c r="P609" s="76"/>
      <c r="Q609" s="76"/>
      <c r="R609" s="76"/>
      <c r="S609" s="76"/>
      <c r="T609" s="76"/>
      <c r="U609" s="76"/>
      <c r="V609" s="76"/>
      <c r="W609" s="76"/>
      <c r="X609" s="76"/>
      <c r="Y609" s="76"/>
      <c r="Z609" s="76"/>
      <c r="AA609" s="76"/>
      <c r="AB609" s="76"/>
    </row>
    <row r="610" spans="6:28">
      <c r="F610" s="76"/>
      <c r="G610" s="76"/>
      <c r="H610" s="76"/>
      <c r="I610" s="76"/>
      <c r="J610" s="76"/>
      <c r="K610" s="76"/>
      <c r="L610" s="76"/>
      <c r="M610" s="76"/>
      <c r="N610" s="76"/>
      <c r="O610" s="76"/>
      <c r="P610" s="76"/>
      <c r="Q610" s="76"/>
      <c r="R610" s="76"/>
      <c r="S610" s="76"/>
      <c r="T610" s="76"/>
      <c r="U610" s="76"/>
      <c r="V610" s="76"/>
      <c r="W610" s="76"/>
      <c r="X610" s="76"/>
      <c r="Y610" s="76"/>
      <c r="Z610" s="76"/>
      <c r="AA610" s="76"/>
      <c r="AB610" s="76"/>
    </row>
    <row r="611" spans="6:28">
      <c r="F611" s="76"/>
      <c r="G611" s="76"/>
      <c r="H611" s="76"/>
      <c r="I611" s="76"/>
      <c r="J611" s="76"/>
      <c r="K611" s="76"/>
      <c r="L611" s="76"/>
      <c r="M611" s="76"/>
      <c r="N611" s="76"/>
      <c r="O611" s="76"/>
      <c r="P611" s="76"/>
      <c r="Q611" s="76"/>
      <c r="R611" s="76"/>
      <c r="S611" s="76"/>
      <c r="T611" s="76"/>
      <c r="U611" s="76"/>
      <c r="V611" s="76"/>
      <c r="W611" s="76"/>
      <c r="X611" s="76"/>
      <c r="Y611" s="76"/>
      <c r="Z611" s="76"/>
      <c r="AA611" s="76"/>
      <c r="AB611" s="76"/>
    </row>
    <row r="612" spans="6:28">
      <c r="F612" s="76"/>
      <c r="G612" s="76"/>
      <c r="H612" s="76"/>
      <c r="I612" s="76"/>
      <c r="J612" s="76"/>
      <c r="K612" s="76"/>
      <c r="L612" s="76"/>
      <c r="M612" s="76"/>
      <c r="N612" s="76"/>
      <c r="O612" s="76"/>
      <c r="P612" s="76"/>
      <c r="Q612" s="76"/>
      <c r="R612" s="76"/>
      <c r="S612" s="76"/>
      <c r="T612" s="76"/>
      <c r="U612" s="76"/>
      <c r="V612" s="76"/>
      <c r="W612" s="76"/>
      <c r="X612" s="76"/>
      <c r="Y612" s="76"/>
      <c r="Z612" s="76"/>
      <c r="AA612" s="76"/>
      <c r="AB612" s="76"/>
    </row>
    <row r="613" spans="6:28">
      <c r="F613" s="76"/>
      <c r="G613" s="76"/>
      <c r="H613" s="76"/>
      <c r="I613" s="76"/>
      <c r="J613" s="76"/>
      <c r="K613" s="76"/>
      <c r="L613" s="76"/>
      <c r="M613" s="76"/>
      <c r="N613" s="76"/>
      <c r="O613" s="76"/>
      <c r="P613" s="76"/>
      <c r="Q613" s="76"/>
      <c r="R613" s="76"/>
      <c r="S613" s="76"/>
      <c r="T613" s="76"/>
      <c r="U613" s="76"/>
      <c r="V613" s="76"/>
      <c r="W613" s="76"/>
      <c r="X613" s="76"/>
      <c r="Y613" s="76"/>
      <c r="Z613" s="76"/>
      <c r="AA613" s="76"/>
      <c r="AB613" s="76"/>
    </row>
    <row r="614" spans="6:28">
      <c r="F614" s="76"/>
      <c r="G614" s="76"/>
      <c r="H614" s="76"/>
      <c r="I614" s="76"/>
      <c r="J614" s="76"/>
      <c r="K614" s="76"/>
      <c r="L614" s="76"/>
      <c r="M614" s="76"/>
      <c r="N614" s="76"/>
      <c r="O614" s="76"/>
      <c r="P614" s="76"/>
      <c r="Q614" s="76"/>
      <c r="R614" s="76"/>
      <c r="S614" s="76"/>
      <c r="T614" s="76"/>
      <c r="U614" s="76"/>
      <c r="V614" s="76"/>
      <c r="W614" s="76"/>
      <c r="X614" s="76"/>
      <c r="Y614" s="76"/>
      <c r="Z614" s="76"/>
      <c r="AA614" s="76"/>
      <c r="AB614" s="76"/>
    </row>
    <row r="615" spans="6:28">
      <c r="F615" s="76"/>
      <c r="G615" s="76"/>
      <c r="H615" s="76"/>
      <c r="I615" s="76"/>
      <c r="J615" s="76"/>
      <c r="K615" s="76"/>
      <c r="L615" s="76"/>
      <c r="M615" s="76"/>
      <c r="N615" s="76"/>
      <c r="O615" s="76"/>
      <c r="P615" s="76"/>
      <c r="Q615" s="76"/>
      <c r="R615" s="76"/>
      <c r="S615" s="76"/>
      <c r="T615" s="76"/>
      <c r="U615" s="76"/>
      <c r="V615" s="76"/>
      <c r="W615" s="76"/>
      <c r="X615" s="76"/>
      <c r="Y615" s="76"/>
      <c r="Z615" s="76"/>
      <c r="AA615" s="76"/>
      <c r="AB615" s="76"/>
    </row>
    <row r="616" spans="6:28">
      <c r="F616" s="76"/>
      <c r="G616" s="76"/>
      <c r="H616" s="76"/>
      <c r="I616" s="76"/>
      <c r="J616" s="76"/>
      <c r="K616" s="76"/>
      <c r="L616" s="76"/>
      <c r="M616" s="76"/>
      <c r="N616" s="76"/>
      <c r="O616" s="76"/>
      <c r="P616" s="76"/>
      <c r="Q616" s="76"/>
      <c r="R616" s="76"/>
      <c r="S616" s="76"/>
      <c r="T616" s="76"/>
      <c r="U616" s="76"/>
      <c r="V616" s="76"/>
      <c r="W616" s="76"/>
      <c r="X616" s="76"/>
      <c r="Y616" s="76"/>
      <c r="Z616" s="76"/>
      <c r="AA616" s="76"/>
      <c r="AB616" s="76"/>
    </row>
    <row r="617" spans="6:28">
      <c r="F617" s="76"/>
      <c r="G617" s="76"/>
      <c r="H617" s="76"/>
      <c r="I617" s="76"/>
      <c r="J617" s="76"/>
      <c r="K617" s="76"/>
      <c r="L617" s="76"/>
      <c r="M617" s="76"/>
      <c r="N617" s="76"/>
      <c r="O617" s="76"/>
      <c r="P617" s="76"/>
      <c r="Q617" s="76"/>
      <c r="R617" s="76"/>
      <c r="S617" s="76"/>
      <c r="T617" s="76"/>
      <c r="U617" s="76"/>
      <c r="V617" s="76"/>
      <c r="W617" s="76"/>
      <c r="X617" s="76"/>
      <c r="Y617" s="76"/>
      <c r="Z617" s="76"/>
      <c r="AA617" s="76"/>
      <c r="AB617" s="76"/>
    </row>
    <row r="618" spans="6:28">
      <c r="F618" s="76"/>
      <c r="G618" s="76"/>
      <c r="H618" s="76"/>
      <c r="I618" s="76"/>
      <c r="J618" s="76"/>
      <c r="K618" s="76"/>
      <c r="L618" s="76"/>
      <c r="M618" s="76"/>
      <c r="N618" s="76"/>
      <c r="O618" s="76"/>
      <c r="P618" s="76"/>
      <c r="Q618" s="76"/>
      <c r="R618" s="76"/>
      <c r="S618" s="76"/>
      <c r="T618" s="76"/>
      <c r="U618" s="76"/>
      <c r="V618" s="76"/>
      <c r="W618" s="76"/>
      <c r="X618" s="76"/>
      <c r="Y618" s="76"/>
      <c r="Z618" s="76"/>
      <c r="AA618" s="76"/>
      <c r="AB618" s="76"/>
    </row>
    <row r="619" spans="6:28">
      <c r="F619" s="76"/>
      <c r="G619" s="76"/>
      <c r="H619" s="76"/>
      <c r="I619" s="76"/>
      <c r="J619" s="76"/>
      <c r="K619" s="76"/>
      <c r="L619" s="76"/>
      <c r="M619" s="76"/>
      <c r="N619" s="76"/>
      <c r="O619" s="76"/>
      <c r="P619" s="76"/>
      <c r="Q619" s="76"/>
      <c r="R619" s="76"/>
      <c r="S619" s="76"/>
      <c r="T619" s="76"/>
      <c r="U619" s="76"/>
      <c r="V619" s="76"/>
      <c r="W619" s="76"/>
      <c r="X619" s="76"/>
      <c r="Y619" s="76"/>
      <c r="Z619" s="76"/>
      <c r="AA619" s="76"/>
      <c r="AB619" s="76"/>
    </row>
    <row r="620" spans="6:28">
      <c r="F620" s="76"/>
      <c r="G620" s="76"/>
      <c r="H620" s="76"/>
      <c r="I620" s="76"/>
      <c r="J620" s="76"/>
      <c r="K620" s="76"/>
      <c r="L620" s="76"/>
      <c r="M620" s="76"/>
      <c r="N620" s="76"/>
      <c r="O620" s="76"/>
      <c r="P620" s="76"/>
      <c r="Q620" s="76"/>
      <c r="R620" s="76"/>
      <c r="S620" s="76"/>
      <c r="T620" s="76"/>
      <c r="U620" s="76"/>
      <c r="V620" s="76"/>
      <c r="W620" s="76"/>
      <c r="X620" s="76"/>
      <c r="Y620" s="76"/>
      <c r="Z620" s="76"/>
      <c r="AA620" s="76"/>
      <c r="AB620" s="76"/>
    </row>
    <row r="621" spans="6:28">
      <c r="F621" s="76"/>
      <c r="G621" s="76"/>
      <c r="H621" s="76"/>
      <c r="I621" s="76"/>
      <c r="J621" s="76"/>
      <c r="K621" s="76"/>
      <c r="L621" s="76"/>
      <c r="M621" s="76"/>
      <c r="N621" s="76"/>
      <c r="O621" s="76"/>
      <c r="P621" s="76"/>
      <c r="Q621" s="76"/>
      <c r="R621" s="76"/>
      <c r="S621" s="76"/>
      <c r="T621" s="76"/>
      <c r="U621" s="76"/>
      <c r="V621" s="76"/>
      <c r="W621" s="76"/>
      <c r="X621" s="76"/>
      <c r="Y621" s="76"/>
      <c r="Z621" s="76"/>
      <c r="AA621" s="76"/>
      <c r="AB621" s="76"/>
    </row>
    <row r="622" spans="6:28">
      <c r="F622" s="76"/>
      <c r="G622" s="76"/>
      <c r="H622" s="76"/>
      <c r="I622" s="76"/>
      <c r="J622" s="76"/>
      <c r="K622" s="76"/>
      <c r="L622" s="76"/>
      <c r="M622" s="76"/>
      <c r="N622" s="76"/>
      <c r="O622" s="76"/>
      <c r="P622" s="76"/>
      <c r="Q622" s="76"/>
      <c r="R622" s="76"/>
      <c r="S622" s="76"/>
      <c r="T622" s="76"/>
      <c r="U622" s="76"/>
      <c r="V622" s="76"/>
      <c r="W622" s="76"/>
      <c r="X622" s="76"/>
      <c r="Y622" s="76"/>
      <c r="Z622" s="76"/>
      <c r="AA622" s="76"/>
      <c r="AB622" s="76"/>
    </row>
    <row r="623" spans="6:28">
      <c r="F623" s="76"/>
      <c r="G623" s="76"/>
      <c r="H623" s="76"/>
      <c r="I623" s="76"/>
      <c r="J623" s="76"/>
      <c r="K623" s="76"/>
      <c r="L623" s="76"/>
      <c r="M623" s="76"/>
      <c r="N623" s="76"/>
      <c r="O623" s="76"/>
      <c r="P623" s="76"/>
      <c r="Q623" s="76"/>
      <c r="R623" s="76"/>
      <c r="S623" s="76"/>
      <c r="T623" s="76"/>
      <c r="U623" s="76"/>
      <c r="V623" s="76"/>
      <c r="W623" s="76"/>
      <c r="X623" s="76"/>
      <c r="Y623" s="76"/>
      <c r="Z623" s="76"/>
      <c r="AA623" s="76"/>
      <c r="AB623" s="76"/>
    </row>
    <row r="624" spans="6:28">
      <c r="F624" s="76"/>
      <c r="G624" s="76"/>
      <c r="H624" s="76"/>
      <c r="I624" s="76"/>
      <c r="J624" s="76"/>
      <c r="K624" s="76"/>
      <c r="L624" s="76"/>
      <c r="M624" s="76"/>
      <c r="N624" s="76"/>
      <c r="O624" s="76"/>
      <c r="P624" s="76"/>
      <c r="Q624" s="76"/>
      <c r="R624" s="76"/>
      <c r="S624" s="76"/>
      <c r="T624" s="76"/>
      <c r="U624" s="76"/>
      <c r="V624" s="76"/>
      <c r="W624" s="76"/>
      <c r="X624" s="76"/>
      <c r="Y624" s="76"/>
      <c r="Z624" s="76"/>
      <c r="AA624" s="76"/>
      <c r="AB624" s="76"/>
    </row>
    <row r="625" spans="6:28">
      <c r="F625" s="76"/>
      <c r="G625" s="76"/>
      <c r="H625" s="76"/>
      <c r="I625" s="76"/>
      <c r="J625" s="76"/>
      <c r="K625" s="76"/>
      <c r="L625" s="76"/>
      <c r="M625" s="76"/>
      <c r="N625" s="76"/>
      <c r="O625" s="76"/>
      <c r="P625" s="76"/>
      <c r="Q625" s="76"/>
      <c r="R625" s="76"/>
      <c r="S625" s="76"/>
      <c r="T625" s="76"/>
      <c r="U625" s="76"/>
      <c r="V625" s="76"/>
      <c r="W625" s="76"/>
      <c r="X625" s="76"/>
      <c r="Y625" s="76"/>
      <c r="Z625" s="76"/>
      <c r="AA625" s="76"/>
      <c r="AB625" s="76"/>
    </row>
    <row r="626" spans="6:28">
      <c r="F626" s="76"/>
      <c r="G626" s="76"/>
      <c r="H626" s="76"/>
      <c r="I626" s="76"/>
      <c r="J626" s="76"/>
      <c r="K626" s="76"/>
      <c r="L626" s="76"/>
      <c r="M626" s="76"/>
      <c r="N626" s="76"/>
      <c r="O626" s="76"/>
      <c r="P626" s="76"/>
      <c r="Q626" s="76"/>
      <c r="R626" s="76"/>
      <c r="S626" s="76"/>
      <c r="T626" s="76"/>
      <c r="U626" s="76"/>
      <c r="V626" s="76"/>
      <c r="W626" s="76"/>
      <c r="X626" s="76"/>
      <c r="Y626" s="76"/>
      <c r="Z626" s="76"/>
      <c r="AA626" s="76"/>
      <c r="AB626" s="76"/>
    </row>
    <row r="627" spans="6:28">
      <c r="F627" s="76"/>
      <c r="G627" s="76"/>
      <c r="H627" s="76"/>
      <c r="I627" s="76"/>
      <c r="J627" s="76"/>
      <c r="K627" s="76"/>
      <c r="L627" s="76"/>
      <c r="M627" s="76"/>
      <c r="N627" s="76"/>
      <c r="O627" s="76"/>
      <c r="P627" s="76"/>
      <c r="Q627" s="76"/>
      <c r="R627" s="76"/>
      <c r="S627" s="76"/>
      <c r="T627" s="76"/>
      <c r="U627" s="76"/>
      <c r="V627" s="76"/>
      <c r="W627" s="76"/>
      <c r="X627" s="76"/>
      <c r="Y627" s="76"/>
      <c r="Z627" s="76"/>
      <c r="AA627" s="76"/>
      <c r="AB627" s="76"/>
    </row>
    <row r="628" spans="6:28">
      <c r="F628" s="76"/>
      <c r="G628" s="76"/>
      <c r="H628" s="76"/>
      <c r="I628" s="76"/>
      <c r="J628" s="76"/>
      <c r="K628" s="76"/>
      <c r="L628" s="76"/>
      <c r="M628" s="76"/>
      <c r="N628" s="76"/>
      <c r="O628" s="76"/>
      <c r="P628" s="76"/>
      <c r="Q628" s="76"/>
      <c r="R628" s="76"/>
      <c r="S628" s="76"/>
      <c r="T628" s="76"/>
      <c r="U628" s="76"/>
      <c r="V628" s="76"/>
      <c r="W628" s="76"/>
      <c r="X628" s="76"/>
      <c r="Y628" s="76"/>
      <c r="Z628" s="76"/>
      <c r="AA628" s="76"/>
      <c r="AB628" s="76"/>
    </row>
    <row r="629" spans="6:28">
      <c r="F629" s="76"/>
      <c r="G629" s="76"/>
      <c r="H629" s="76"/>
      <c r="I629" s="76"/>
      <c r="J629" s="76"/>
      <c r="K629" s="76"/>
      <c r="L629" s="76"/>
      <c r="M629" s="76"/>
      <c r="N629" s="76"/>
      <c r="O629" s="76"/>
      <c r="P629" s="76"/>
      <c r="Q629" s="76"/>
      <c r="R629" s="76"/>
      <c r="S629" s="76"/>
      <c r="T629" s="76"/>
      <c r="U629" s="76"/>
      <c r="V629" s="76"/>
      <c r="W629" s="76"/>
      <c r="X629" s="76"/>
      <c r="Y629" s="76"/>
      <c r="Z629" s="76"/>
      <c r="AA629" s="76"/>
      <c r="AB629" s="76"/>
    </row>
    <row r="630" spans="6:28">
      <c r="F630" s="76"/>
      <c r="G630" s="76"/>
      <c r="H630" s="76"/>
      <c r="I630" s="76"/>
      <c r="J630" s="76"/>
      <c r="K630" s="76"/>
      <c r="L630" s="76"/>
      <c r="M630" s="76"/>
      <c r="N630" s="76"/>
      <c r="O630" s="76"/>
      <c r="P630" s="76"/>
      <c r="Q630" s="76"/>
      <c r="R630" s="76"/>
      <c r="S630" s="76"/>
      <c r="T630" s="76"/>
      <c r="U630" s="76"/>
      <c r="V630" s="76"/>
      <c r="W630" s="76"/>
      <c r="X630" s="76"/>
      <c r="Y630" s="76"/>
      <c r="Z630" s="76"/>
      <c r="AA630" s="76"/>
      <c r="AB630" s="76"/>
    </row>
    <row r="631" spans="6:28">
      <c r="F631" s="76"/>
      <c r="G631" s="76"/>
      <c r="H631" s="76"/>
      <c r="I631" s="76"/>
      <c r="J631" s="76"/>
      <c r="K631" s="76"/>
      <c r="L631" s="76"/>
      <c r="M631" s="76"/>
      <c r="N631" s="76"/>
      <c r="O631" s="76"/>
      <c r="P631" s="76"/>
      <c r="Q631" s="76"/>
      <c r="R631" s="76"/>
      <c r="S631" s="76"/>
      <c r="T631" s="76"/>
      <c r="U631" s="76"/>
      <c r="V631" s="76"/>
      <c r="W631" s="76"/>
      <c r="X631" s="76"/>
      <c r="Y631" s="76"/>
      <c r="Z631" s="76"/>
      <c r="AA631" s="76"/>
      <c r="AB631" s="76"/>
    </row>
    <row r="632" spans="6:28">
      <c r="F632" s="76"/>
      <c r="G632" s="76"/>
      <c r="H632" s="76"/>
      <c r="I632" s="76"/>
      <c r="J632" s="76"/>
      <c r="K632" s="76"/>
      <c r="L632" s="76"/>
      <c r="M632" s="76"/>
      <c r="N632" s="76"/>
      <c r="O632" s="76"/>
      <c r="P632" s="76"/>
      <c r="Q632" s="76"/>
      <c r="R632" s="76"/>
      <c r="S632" s="76"/>
      <c r="T632" s="76"/>
      <c r="U632" s="76"/>
      <c r="V632" s="76"/>
      <c r="W632" s="76"/>
      <c r="X632" s="76"/>
      <c r="Y632" s="76"/>
      <c r="Z632" s="76"/>
      <c r="AA632" s="76"/>
      <c r="AB632" s="76"/>
    </row>
    <row r="633" spans="6:28">
      <c r="F633" s="76"/>
      <c r="G633" s="76"/>
      <c r="H633" s="76"/>
      <c r="I633" s="76"/>
      <c r="J633" s="76"/>
      <c r="K633" s="76"/>
      <c r="L633" s="76"/>
      <c r="M633" s="76"/>
      <c r="N633" s="76"/>
      <c r="O633" s="76"/>
      <c r="P633" s="76"/>
      <c r="Q633" s="76"/>
      <c r="R633" s="76"/>
      <c r="S633" s="76"/>
      <c r="T633" s="76"/>
      <c r="U633" s="76"/>
      <c r="V633" s="76"/>
      <c r="W633" s="76"/>
      <c r="X633" s="76"/>
      <c r="Y633" s="76"/>
      <c r="Z633" s="76"/>
      <c r="AA633" s="76"/>
      <c r="AB633" s="76"/>
    </row>
    <row r="634" spans="6:28">
      <c r="F634" s="76"/>
      <c r="G634" s="76"/>
      <c r="H634" s="76"/>
      <c r="I634" s="76"/>
      <c r="J634" s="76"/>
      <c r="K634" s="76"/>
      <c r="L634" s="76"/>
      <c r="M634" s="76"/>
      <c r="N634" s="76"/>
      <c r="O634" s="76"/>
      <c r="P634" s="76"/>
      <c r="Q634" s="76"/>
      <c r="R634" s="76"/>
      <c r="S634" s="76"/>
      <c r="T634" s="76"/>
      <c r="U634" s="76"/>
      <c r="V634" s="76"/>
      <c r="W634" s="76"/>
      <c r="X634" s="76"/>
      <c r="Y634" s="76"/>
      <c r="Z634" s="76"/>
      <c r="AA634" s="76"/>
      <c r="AB634" s="76"/>
    </row>
    <row r="635" spans="6:28">
      <c r="F635" s="76"/>
      <c r="G635" s="76"/>
      <c r="H635" s="76"/>
      <c r="I635" s="76"/>
      <c r="J635" s="76"/>
      <c r="K635" s="76"/>
      <c r="L635" s="76"/>
      <c r="M635" s="76"/>
      <c r="N635" s="76"/>
      <c r="O635" s="76"/>
      <c r="P635" s="76"/>
      <c r="Q635" s="76"/>
      <c r="R635" s="76"/>
      <c r="S635" s="76"/>
      <c r="T635" s="76"/>
      <c r="U635" s="76"/>
      <c r="V635" s="76"/>
      <c r="W635" s="76"/>
      <c r="X635" s="76"/>
      <c r="Y635" s="76"/>
      <c r="Z635" s="76"/>
      <c r="AA635" s="76"/>
      <c r="AB635" s="76"/>
    </row>
    <row r="636" spans="6:28">
      <c r="F636" s="76"/>
      <c r="G636" s="76"/>
      <c r="H636" s="76"/>
      <c r="I636" s="76"/>
      <c r="J636" s="76"/>
      <c r="K636" s="76"/>
      <c r="L636" s="76"/>
      <c r="M636" s="76"/>
      <c r="N636" s="76"/>
      <c r="O636" s="76"/>
      <c r="P636" s="76"/>
      <c r="Q636" s="76"/>
      <c r="R636" s="76"/>
      <c r="S636" s="76"/>
      <c r="T636" s="76"/>
      <c r="U636" s="76"/>
      <c r="V636" s="76"/>
      <c r="W636" s="76"/>
      <c r="X636" s="76"/>
      <c r="Y636" s="76"/>
      <c r="Z636" s="76"/>
      <c r="AA636" s="76"/>
      <c r="AB636" s="76"/>
    </row>
    <row r="637" spans="6:28">
      <c r="F637" s="76"/>
      <c r="G637" s="76"/>
      <c r="H637" s="76"/>
      <c r="I637" s="76"/>
      <c r="J637" s="76"/>
      <c r="K637" s="76"/>
      <c r="L637" s="76"/>
      <c r="M637" s="76"/>
      <c r="N637" s="76"/>
      <c r="O637" s="76"/>
      <c r="P637" s="76"/>
      <c r="Q637" s="76"/>
      <c r="R637" s="76"/>
      <c r="S637" s="76"/>
      <c r="T637" s="76"/>
      <c r="U637" s="76"/>
      <c r="V637" s="76"/>
      <c r="W637" s="76"/>
      <c r="X637" s="76"/>
      <c r="Y637" s="76"/>
      <c r="Z637" s="76"/>
      <c r="AA637" s="76"/>
      <c r="AB637" s="76"/>
    </row>
    <row r="638" spans="6:28">
      <c r="F638" s="76"/>
      <c r="G638" s="76"/>
      <c r="H638" s="76"/>
      <c r="I638" s="76"/>
      <c r="J638" s="76"/>
      <c r="K638" s="76"/>
      <c r="L638" s="76"/>
      <c r="M638" s="76"/>
      <c r="N638" s="76"/>
      <c r="O638" s="76"/>
      <c r="P638" s="76"/>
      <c r="Q638" s="76"/>
      <c r="R638" s="76"/>
      <c r="S638" s="76"/>
      <c r="T638" s="76"/>
      <c r="U638" s="76"/>
      <c r="V638" s="76"/>
      <c r="W638" s="76"/>
      <c r="X638" s="76"/>
      <c r="Y638" s="76"/>
      <c r="Z638" s="76"/>
      <c r="AA638" s="76"/>
      <c r="AB638" s="76"/>
    </row>
    <row r="639" spans="6:28">
      <c r="F639" s="76"/>
      <c r="G639" s="76"/>
      <c r="H639" s="76"/>
      <c r="I639" s="76"/>
      <c r="J639" s="76"/>
      <c r="K639" s="76"/>
      <c r="L639" s="76"/>
      <c r="M639" s="76"/>
      <c r="N639" s="76"/>
      <c r="O639" s="76"/>
      <c r="P639" s="76"/>
      <c r="Q639" s="76"/>
      <c r="R639" s="76"/>
      <c r="S639" s="76"/>
      <c r="T639" s="76"/>
      <c r="U639" s="76"/>
      <c r="V639" s="76"/>
      <c r="W639" s="76"/>
      <c r="X639" s="76"/>
      <c r="Y639" s="76"/>
      <c r="Z639" s="76"/>
      <c r="AA639" s="76"/>
      <c r="AB639" s="76"/>
    </row>
    <row r="640" spans="6:28">
      <c r="F640" s="76"/>
      <c r="G640" s="76"/>
      <c r="H640" s="76"/>
      <c r="I640" s="76"/>
      <c r="J640" s="76"/>
      <c r="K640" s="76"/>
      <c r="L640" s="76"/>
      <c r="M640" s="76"/>
      <c r="N640" s="76"/>
      <c r="O640" s="76"/>
      <c r="P640" s="76"/>
      <c r="Q640" s="76"/>
      <c r="R640" s="76"/>
      <c r="S640" s="76"/>
      <c r="T640" s="76"/>
      <c r="U640" s="76"/>
      <c r="V640" s="76"/>
      <c r="W640" s="76"/>
      <c r="X640" s="76"/>
      <c r="Y640" s="76"/>
      <c r="Z640" s="76"/>
      <c r="AA640" s="76"/>
      <c r="AB640" s="76"/>
    </row>
    <row r="641" spans="6:28">
      <c r="F641" s="76"/>
      <c r="G641" s="76"/>
      <c r="H641" s="76"/>
      <c r="I641" s="76"/>
      <c r="J641" s="76"/>
      <c r="K641" s="76"/>
      <c r="L641" s="76"/>
      <c r="M641" s="76"/>
      <c r="N641" s="76"/>
      <c r="O641" s="76"/>
      <c r="P641" s="76"/>
      <c r="Q641" s="76"/>
      <c r="R641" s="76"/>
      <c r="S641" s="76"/>
      <c r="T641" s="76"/>
      <c r="U641" s="76"/>
      <c r="V641" s="76"/>
      <c r="W641" s="76"/>
      <c r="X641" s="76"/>
      <c r="Y641" s="76"/>
      <c r="Z641" s="76"/>
      <c r="AA641" s="76"/>
      <c r="AB641" s="76"/>
    </row>
    <row r="642" spans="6:28">
      <c r="F642" s="76"/>
      <c r="G642" s="76"/>
      <c r="H642" s="76"/>
      <c r="I642" s="76"/>
      <c r="J642" s="76"/>
      <c r="K642" s="76"/>
      <c r="L642" s="76"/>
      <c r="M642" s="76"/>
      <c r="N642" s="76"/>
      <c r="O642" s="76"/>
      <c r="P642" s="76"/>
      <c r="Q642" s="76"/>
      <c r="R642" s="76"/>
      <c r="S642" s="76"/>
      <c r="T642" s="76"/>
      <c r="U642" s="76"/>
      <c r="V642" s="76"/>
      <c r="W642" s="76"/>
      <c r="X642" s="76"/>
      <c r="Y642" s="76"/>
      <c r="Z642" s="76"/>
      <c r="AA642" s="76"/>
      <c r="AB642" s="76"/>
    </row>
    <row r="643" spans="6:28">
      <c r="F643" s="76"/>
      <c r="G643" s="76"/>
      <c r="H643" s="76"/>
      <c r="I643" s="76"/>
      <c r="J643" s="76"/>
      <c r="K643" s="76"/>
      <c r="L643" s="76"/>
      <c r="M643" s="76"/>
      <c r="N643" s="76"/>
      <c r="O643" s="76"/>
      <c r="P643" s="76"/>
      <c r="Q643" s="76"/>
      <c r="R643" s="76"/>
      <c r="S643" s="76"/>
      <c r="T643" s="76"/>
      <c r="U643" s="76"/>
      <c r="V643" s="76"/>
      <c r="W643" s="76"/>
      <c r="X643" s="76"/>
      <c r="Y643" s="76"/>
      <c r="Z643" s="76"/>
      <c r="AA643" s="76"/>
      <c r="AB643" s="76"/>
    </row>
    <row r="644" spans="6:28">
      <c r="F644" s="76"/>
      <c r="G644" s="76"/>
      <c r="H644" s="76"/>
      <c r="I644" s="76"/>
      <c r="J644" s="76"/>
      <c r="K644" s="76"/>
      <c r="L644" s="76"/>
      <c r="M644" s="76"/>
      <c r="N644" s="76"/>
      <c r="O644" s="76"/>
      <c r="P644" s="76"/>
      <c r="Q644" s="76"/>
      <c r="R644" s="76"/>
      <c r="S644" s="76"/>
      <c r="T644" s="76"/>
      <c r="U644" s="76"/>
      <c r="V644" s="76"/>
      <c r="W644" s="76"/>
      <c r="X644" s="76"/>
      <c r="Y644" s="76"/>
      <c r="Z644" s="76"/>
      <c r="AA644" s="76"/>
      <c r="AB644" s="76"/>
    </row>
    <row r="645" spans="6:28">
      <c r="F645" s="76"/>
      <c r="G645" s="76"/>
      <c r="H645" s="76"/>
      <c r="I645" s="76"/>
      <c r="J645" s="76"/>
      <c r="K645" s="76"/>
      <c r="L645" s="76"/>
      <c r="M645" s="76"/>
      <c r="N645" s="76"/>
      <c r="O645" s="76"/>
      <c r="P645" s="76"/>
      <c r="Q645" s="76"/>
      <c r="R645" s="76"/>
      <c r="S645" s="76"/>
      <c r="T645" s="76"/>
      <c r="U645" s="76"/>
      <c r="V645" s="76"/>
      <c r="W645" s="76"/>
      <c r="X645" s="76"/>
      <c r="Y645" s="76"/>
      <c r="Z645" s="76"/>
      <c r="AA645" s="76"/>
      <c r="AB645" s="76"/>
    </row>
    <row r="646" spans="6:28">
      <c r="F646" s="76"/>
      <c r="G646" s="76"/>
      <c r="H646" s="76"/>
      <c r="I646" s="76"/>
      <c r="J646" s="76"/>
      <c r="K646" s="76"/>
      <c r="L646" s="76"/>
      <c r="M646" s="76"/>
      <c r="N646" s="76"/>
      <c r="O646" s="76"/>
      <c r="P646" s="76"/>
      <c r="Q646" s="76"/>
      <c r="R646" s="76"/>
      <c r="S646" s="76"/>
      <c r="T646" s="76"/>
      <c r="U646" s="76"/>
      <c r="V646" s="76"/>
      <c r="W646" s="76"/>
      <c r="X646" s="76"/>
      <c r="Y646" s="76"/>
      <c r="Z646" s="76"/>
      <c r="AA646" s="76"/>
      <c r="AB646" s="76"/>
    </row>
    <row r="647" spans="6:28">
      <c r="F647" s="76"/>
      <c r="G647" s="76"/>
      <c r="H647" s="76"/>
      <c r="I647" s="76"/>
      <c r="J647" s="76"/>
      <c r="K647" s="76"/>
      <c r="L647" s="76"/>
      <c r="M647" s="76"/>
      <c r="N647" s="76"/>
      <c r="O647" s="76"/>
      <c r="P647" s="76"/>
      <c r="Q647" s="76"/>
      <c r="R647" s="76"/>
      <c r="S647" s="76"/>
      <c r="T647" s="76"/>
      <c r="U647" s="76"/>
      <c r="V647" s="76"/>
      <c r="W647" s="76"/>
      <c r="X647" s="76"/>
      <c r="Y647" s="76"/>
      <c r="Z647" s="76"/>
      <c r="AA647" s="76"/>
      <c r="AB647" s="76"/>
    </row>
    <row r="648" spans="6:28">
      <c r="F648" s="76"/>
      <c r="G648" s="76"/>
      <c r="H648" s="76"/>
      <c r="I648" s="76"/>
      <c r="J648" s="76"/>
      <c r="K648" s="76"/>
      <c r="L648" s="76"/>
      <c r="M648" s="76"/>
      <c r="N648" s="76"/>
      <c r="O648" s="76"/>
      <c r="P648" s="76"/>
      <c r="Q648" s="76"/>
      <c r="R648" s="76"/>
      <c r="S648" s="76"/>
      <c r="T648" s="76"/>
      <c r="U648" s="76"/>
      <c r="V648" s="76"/>
      <c r="W648" s="76"/>
      <c r="X648" s="76"/>
      <c r="Y648" s="76"/>
      <c r="Z648" s="76"/>
      <c r="AA648" s="76"/>
      <c r="AB648" s="76"/>
    </row>
    <row r="649" spans="6:28">
      <c r="F649" s="76"/>
      <c r="G649" s="76"/>
      <c r="H649" s="76"/>
      <c r="I649" s="76"/>
      <c r="J649" s="76"/>
      <c r="K649" s="76"/>
      <c r="L649" s="76"/>
      <c r="M649" s="76"/>
      <c r="N649" s="76"/>
      <c r="O649" s="76"/>
      <c r="P649" s="76"/>
      <c r="Q649" s="76"/>
      <c r="R649" s="76"/>
      <c r="S649" s="76"/>
      <c r="T649" s="76"/>
      <c r="U649" s="76"/>
      <c r="V649" s="76"/>
      <c r="W649" s="76"/>
      <c r="X649" s="76"/>
      <c r="Y649" s="76"/>
      <c r="Z649" s="76"/>
      <c r="AA649" s="76"/>
      <c r="AB649" s="76"/>
    </row>
    <row r="650" spans="6:28">
      <c r="F650" s="76"/>
      <c r="G650" s="76"/>
      <c r="H650" s="76"/>
      <c r="I650" s="76"/>
      <c r="J650" s="76"/>
      <c r="K650" s="76"/>
      <c r="L650" s="76"/>
      <c r="M650" s="76"/>
      <c r="N650" s="76"/>
      <c r="O650" s="76"/>
      <c r="P650" s="76"/>
      <c r="Q650" s="76"/>
      <c r="R650" s="76"/>
      <c r="S650" s="76"/>
      <c r="T650" s="76"/>
      <c r="U650" s="76"/>
      <c r="V650" s="76"/>
      <c r="W650" s="76"/>
      <c r="X650" s="76"/>
      <c r="Y650" s="76"/>
      <c r="Z650" s="76"/>
      <c r="AA650" s="76"/>
      <c r="AB650" s="76"/>
    </row>
    <row r="651" spans="6:28">
      <c r="F651" s="76"/>
      <c r="G651" s="76"/>
      <c r="H651" s="76"/>
      <c r="I651" s="76"/>
      <c r="J651" s="76"/>
      <c r="K651" s="76"/>
      <c r="L651" s="76"/>
      <c r="M651" s="76"/>
      <c r="N651" s="76"/>
      <c r="O651" s="76"/>
      <c r="P651" s="76"/>
      <c r="Q651" s="76"/>
      <c r="R651" s="76"/>
      <c r="S651" s="76"/>
      <c r="T651" s="76"/>
      <c r="U651" s="76"/>
      <c r="V651" s="76"/>
      <c r="W651" s="76"/>
      <c r="X651" s="76"/>
      <c r="Y651" s="76"/>
      <c r="Z651" s="76"/>
      <c r="AA651" s="76"/>
      <c r="AB651" s="76"/>
    </row>
    <row r="652" spans="6:28">
      <c r="F652" s="76"/>
      <c r="G652" s="76"/>
      <c r="H652" s="76"/>
      <c r="I652" s="76"/>
      <c r="J652" s="76"/>
      <c r="K652" s="76"/>
      <c r="L652" s="76"/>
      <c r="M652" s="76"/>
      <c r="N652" s="76"/>
      <c r="O652" s="76"/>
      <c r="P652" s="76"/>
      <c r="Q652" s="76"/>
      <c r="R652" s="76"/>
      <c r="S652" s="76"/>
      <c r="T652" s="76"/>
      <c r="U652" s="76"/>
      <c r="V652" s="76"/>
      <c r="W652" s="76"/>
      <c r="X652" s="76"/>
      <c r="Y652" s="76"/>
      <c r="Z652" s="76"/>
      <c r="AA652" s="76"/>
      <c r="AB652" s="76"/>
    </row>
    <row r="653" spans="6:28">
      <c r="F653" s="76"/>
      <c r="G653" s="76"/>
      <c r="H653" s="76"/>
      <c r="I653" s="76"/>
      <c r="J653" s="76"/>
      <c r="K653" s="76"/>
      <c r="L653" s="76"/>
      <c r="M653" s="76"/>
      <c r="N653" s="76"/>
      <c r="O653" s="76"/>
      <c r="P653" s="76"/>
      <c r="Q653" s="76"/>
      <c r="R653" s="76"/>
      <c r="S653" s="76"/>
      <c r="T653" s="76"/>
      <c r="U653" s="76"/>
      <c r="V653" s="76"/>
      <c r="W653" s="76"/>
      <c r="X653" s="76"/>
      <c r="Y653" s="76"/>
      <c r="Z653" s="76"/>
      <c r="AA653" s="76"/>
      <c r="AB653" s="76"/>
    </row>
    <row r="654" spans="6:28">
      <c r="F654" s="76"/>
      <c r="G654" s="76"/>
      <c r="H654" s="76"/>
      <c r="I654" s="76"/>
      <c r="J654" s="76"/>
      <c r="K654" s="76"/>
      <c r="L654" s="76"/>
      <c r="M654" s="76"/>
      <c r="N654" s="76"/>
      <c r="O654" s="76"/>
      <c r="P654" s="76"/>
      <c r="Q654" s="76"/>
      <c r="R654" s="76"/>
      <c r="S654" s="76"/>
      <c r="T654" s="76"/>
      <c r="U654" s="76"/>
      <c r="V654" s="76"/>
      <c r="W654" s="76"/>
      <c r="X654" s="76"/>
      <c r="Y654" s="76"/>
      <c r="Z654" s="76"/>
      <c r="AA654" s="76"/>
      <c r="AB654" s="76"/>
    </row>
    <row r="655" spans="6:28">
      <c r="F655" s="76"/>
      <c r="G655" s="76"/>
      <c r="H655" s="76"/>
      <c r="I655" s="76"/>
      <c r="J655" s="76"/>
      <c r="K655" s="76"/>
      <c r="L655" s="76"/>
      <c r="M655" s="76"/>
      <c r="N655" s="76"/>
      <c r="O655" s="76"/>
      <c r="P655" s="76"/>
      <c r="Q655" s="76"/>
      <c r="R655" s="76"/>
      <c r="S655" s="76"/>
      <c r="T655" s="76"/>
      <c r="U655" s="76"/>
      <c r="V655" s="76"/>
      <c r="W655" s="76"/>
      <c r="X655" s="76"/>
      <c r="Y655" s="76"/>
      <c r="Z655" s="76"/>
      <c r="AA655" s="76"/>
      <c r="AB655" s="76"/>
    </row>
    <row r="656" spans="6:28">
      <c r="F656" s="76"/>
      <c r="G656" s="76"/>
      <c r="H656" s="76"/>
      <c r="I656" s="76"/>
      <c r="J656" s="76"/>
      <c r="K656" s="76"/>
      <c r="L656" s="76"/>
      <c r="M656" s="76"/>
      <c r="N656" s="76"/>
      <c r="O656" s="76"/>
      <c r="P656" s="76"/>
      <c r="Q656" s="76"/>
      <c r="R656" s="76"/>
      <c r="S656" s="76"/>
      <c r="T656" s="76"/>
      <c r="U656" s="76"/>
      <c r="V656" s="76"/>
      <c r="W656" s="76"/>
      <c r="X656" s="76"/>
      <c r="Y656" s="76"/>
      <c r="Z656" s="76"/>
      <c r="AA656" s="76"/>
      <c r="AB656" s="76"/>
    </row>
    <row r="657" spans="6:28">
      <c r="F657" s="76"/>
      <c r="G657" s="76"/>
      <c r="H657" s="76"/>
      <c r="I657" s="76"/>
      <c r="J657" s="76"/>
      <c r="K657" s="76"/>
      <c r="L657" s="76"/>
      <c r="M657" s="76"/>
      <c r="N657" s="76"/>
      <c r="O657" s="76"/>
      <c r="P657" s="76"/>
      <c r="Q657" s="76"/>
      <c r="R657" s="76"/>
      <c r="S657" s="76"/>
      <c r="T657" s="76"/>
      <c r="U657" s="76"/>
      <c r="V657" s="76"/>
      <c r="W657" s="76"/>
      <c r="X657" s="76"/>
      <c r="Y657" s="76"/>
      <c r="Z657" s="76"/>
      <c r="AA657" s="76"/>
      <c r="AB657" s="76"/>
    </row>
    <row r="658" spans="6:28">
      <c r="F658" s="76"/>
      <c r="G658" s="76"/>
      <c r="H658" s="76"/>
      <c r="I658" s="76"/>
      <c r="J658" s="76"/>
      <c r="K658" s="76"/>
      <c r="L658" s="76"/>
      <c r="M658" s="76"/>
      <c r="N658" s="76"/>
      <c r="O658" s="76"/>
      <c r="P658" s="76"/>
      <c r="Q658" s="76"/>
      <c r="R658" s="76"/>
      <c r="S658" s="76"/>
      <c r="T658" s="76"/>
      <c r="U658" s="76"/>
      <c r="V658" s="76"/>
      <c r="W658" s="76"/>
      <c r="X658" s="76"/>
      <c r="Y658" s="76"/>
      <c r="Z658" s="76"/>
      <c r="AA658" s="76"/>
      <c r="AB658" s="76"/>
    </row>
    <row r="659" spans="6:28">
      <c r="F659" s="76"/>
      <c r="G659" s="76"/>
      <c r="H659" s="76"/>
      <c r="I659" s="76"/>
      <c r="J659" s="76"/>
      <c r="K659" s="76"/>
      <c r="L659" s="76"/>
      <c r="M659" s="76"/>
      <c r="N659" s="76"/>
      <c r="O659" s="76"/>
      <c r="P659" s="76"/>
      <c r="Q659" s="76"/>
      <c r="R659" s="76"/>
      <c r="S659" s="76"/>
      <c r="T659" s="76"/>
      <c r="U659" s="76"/>
      <c r="V659" s="76"/>
      <c r="W659" s="76"/>
      <c r="X659" s="76"/>
      <c r="Y659" s="76"/>
      <c r="Z659" s="76"/>
      <c r="AA659" s="76"/>
      <c r="AB659" s="76"/>
    </row>
    <row r="660" spans="6:28">
      <c r="F660" s="76"/>
      <c r="G660" s="76"/>
      <c r="H660" s="76"/>
      <c r="I660" s="76"/>
      <c r="J660" s="76"/>
      <c r="K660" s="76"/>
      <c r="L660" s="76"/>
      <c r="M660" s="76"/>
      <c r="N660" s="76"/>
      <c r="O660" s="76"/>
      <c r="P660" s="76"/>
      <c r="Q660" s="76"/>
      <c r="R660" s="76"/>
      <c r="S660" s="76"/>
      <c r="T660" s="76"/>
      <c r="U660" s="76"/>
      <c r="V660" s="76"/>
      <c r="W660" s="76"/>
      <c r="X660" s="76"/>
      <c r="Y660" s="76"/>
      <c r="Z660" s="76"/>
      <c r="AA660" s="76"/>
      <c r="AB660" s="76"/>
    </row>
    <row r="661" spans="6:28">
      <c r="F661" s="76"/>
      <c r="G661" s="76"/>
      <c r="H661" s="76"/>
      <c r="I661" s="76"/>
      <c r="J661" s="76"/>
      <c r="K661" s="76"/>
      <c r="L661" s="76"/>
      <c r="M661" s="76"/>
      <c r="N661" s="76"/>
      <c r="O661" s="76"/>
      <c r="P661" s="76"/>
      <c r="Q661" s="76"/>
      <c r="R661" s="76"/>
      <c r="S661" s="76"/>
      <c r="T661" s="76"/>
      <c r="U661" s="76"/>
      <c r="V661" s="76"/>
      <c r="W661" s="76"/>
      <c r="X661" s="76"/>
      <c r="Y661" s="76"/>
      <c r="Z661" s="76"/>
      <c r="AA661" s="76"/>
      <c r="AB661" s="76"/>
    </row>
    <row r="662" spans="6:28">
      <c r="F662" s="76"/>
      <c r="G662" s="76"/>
      <c r="H662" s="76"/>
      <c r="I662" s="76"/>
      <c r="J662" s="76"/>
      <c r="K662" s="76"/>
      <c r="L662" s="76"/>
      <c r="M662" s="76"/>
      <c r="N662" s="76"/>
      <c r="O662" s="76"/>
      <c r="P662" s="76"/>
      <c r="Q662" s="76"/>
      <c r="R662" s="76"/>
      <c r="S662" s="76"/>
      <c r="T662" s="76"/>
      <c r="U662" s="76"/>
      <c r="V662" s="76"/>
      <c r="W662" s="76"/>
      <c r="X662" s="76"/>
      <c r="Y662" s="76"/>
      <c r="Z662" s="76"/>
      <c r="AA662" s="76"/>
      <c r="AB662" s="76"/>
    </row>
    <row r="663" spans="6:28">
      <c r="F663" s="76"/>
      <c r="G663" s="76"/>
      <c r="H663" s="76"/>
      <c r="I663" s="76"/>
      <c r="J663" s="76"/>
      <c r="K663" s="76"/>
      <c r="L663" s="76"/>
      <c r="M663" s="76"/>
      <c r="N663" s="76"/>
      <c r="O663" s="76"/>
      <c r="P663" s="76"/>
      <c r="Q663" s="76"/>
      <c r="R663" s="76"/>
      <c r="S663" s="76"/>
      <c r="T663" s="76"/>
      <c r="U663" s="76"/>
      <c r="V663" s="76"/>
      <c r="W663" s="76"/>
      <c r="X663" s="76"/>
      <c r="Y663" s="76"/>
      <c r="Z663" s="76"/>
      <c r="AA663" s="76"/>
      <c r="AB663" s="76"/>
    </row>
    <row r="664" spans="6:28">
      <c r="F664" s="76"/>
      <c r="G664" s="76"/>
      <c r="H664" s="76"/>
      <c r="I664" s="76"/>
      <c r="J664" s="76"/>
      <c r="K664" s="76"/>
      <c r="L664" s="76"/>
      <c r="M664" s="76"/>
      <c r="N664" s="76"/>
      <c r="O664" s="76"/>
      <c r="P664" s="76"/>
      <c r="Q664" s="76"/>
      <c r="R664" s="76"/>
      <c r="S664" s="76"/>
      <c r="T664" s="76"/>
      <c r="U664" s="76"/>
      <c r="V664" s="76"/>
      <c r="W664" s="76"/>
      <c r="X664" s="76"/>
      <c r="Y664" s="76"/>
      <c r="Z664" s="76"/>
      <c r="AA664" s="76"/>
      <c r="AB664" s="76"/>
    </row>
    <row r="665" spans="6:28">
      <c r="F665" s="76"/>
      <c r="G665" s="76"/>
      <c r="H665" s="76"/>
      <c r="I665" s="76"/>
      <c r="J665" s="76"/>
      <c r="K665" s="76"/>
      <c r="L665" s="76"/>
      <c r="M665" s="76"/>
      <c r="N665" s="76"/>
      <c r="O665" s="76"/>
      <c r="P665" s="76"/>
      <c r="Q665" s="76"/>
      <c r="R665" s="76"/>
      <c r="S665" s="76"/>
      <c r="T665" s="76"/>
      <c r="U665" s="76"/>
      <c r="V665" s="76"/>
      <c r="W665" s="76"/>
      <c r="X665" s="76"/>
      <c r="Y665" s="76"/>
      <c r="Z665" s="76"/>
      <c r="AA665" s="76"/>
      <c r="AB665" s="76"/>
    </row>
    <row r="666" spans="6:28">
      <c r="F666" s="76"/>
      <c r="G666" s="76"/>
      <c r="H666" s="76"/>
      <c r="I666" s="76"/>
      <c r="J666" s="76"/>
      <c r="K666" s="76"/>
      <c r="L666" s="76"/>
      <c r="M666" s="76"/>
      <c r="N666" s="76"/>
      <c r="O666" s="76"/>
      <c r="P666" s="76"/>
      <c r="Q666" s="76"/>
      <c r="R666" s="76"/>
      <c r="S666" s="76"/>
      <c r="T666" s="76"/>
      <c r="U666" s="76"/>
      <c r="V666" s="76"/>
      <c r="W666" s="76"/>
      <c r="X666" s="76"/>
      <c r="Y666" s="76"/>
      <c r="Z666" s="76"/>
      <c r="AA666" s="76"/>
      <c r="AB666" s="76"/>
    </row>
    <row r="667" spans="6:28">
      <c r="F667" s="76"/>
      <c r="G667" s="76"/>
      <c r="H667" s="76"/>
      <c r="I667" s="76"/>
      <c r="J667" s="76"/>
      <c r="K667" s="76"/>
      <c r="L667" s="76"/>
      <c r="M667" s="76"/>
      <c r="N667" s="76"/>
      <c r="O667" s="76"/>
      <c r="P667" s="76"/>
      <c r="Q667" s="76"/>
      <c r="R667" s="76"/>
      <c r="S667" s="76"/>
      <c r="T667" s="76"/>
      <c r="U667" s="76"/>
      <c r="V667" s="76"/>
      <c r="W667" s="76"/>
      <c r="X667" s="76"/>
      <c r="Y667" s="76"/>
      <c r="Z667" s="76"/>
      <c r="AA667" s="76"/>
      <c r="AB667" s="76"/>
    </row>
    <row r="668" spans="6:28">
      <c r="F668" s="76"/>
      <c r="G668" s="76"/>
      <c r="H668" s="76"/>
      <c r="I668" s="76"/>
      <c r="J668" s="76"/>
      <c r="K668" s="76"/>
      <c r="L668" s="76"/>
      <c r="M668" s="76"/>
      <c r="N668" s="76"/>
      <c r="O668" s="76"/>
      <c r="P668" s="76"/>
      <c r="Q668" s="76"/>
      <c r="R668" s="76"/>
      <c r="S668" s="76"/>
      <c r="T668" s="76"/>
      <c r="U668" s="76"/>
      <c r="V668" s="76"/>
      <c r="W668" s="76"/>
      <c r="X668" s="76"/>
      <c r="Y668" s="76"/>
      <c r="Z668" s="76"/>
      <c r="AA668" s="76"/>
      <c r="AB668" s="76"/>
    </row>
    <row r="669" spans="6:28">
      <c r="F669" s="76"/>
      <c r="G669" s="76"/>
      <c r="H669" s="76"/>
      <c r="I669" s="76"/>
      <c r="J669" s="76"/>
      <c r="K669" s="76"/>
      <c r="L669" s="76"/>
      <c r="M669" s="76"/>
      <c r="N669" s="76"/>
      <c r="P669" s="76"/>
      <c r="Q669" s="76"/>
      <c r="R669" s="76"/>
      <c r="S669" s="76"/>
      <c r="T669" s="76"/>
      <c r="U669" s="76"/>
      <c r="V669" s="76"/>
      <c r="W669" s="76"/>
      <c r="X669" s="76"/>
      <c r="Y669" s="76"/>
      <c r="Z669" s="76"/>
      <c r="AA669" s="76"/>
      <c r="AB669" s="76"/>
    </row>
  </sheetData>
  <mergeCells count="14">
    <mergeCell ref="M2:M3"/>
    <mergeCell ref="A5:A16"/>
    <mergeCell ref="G2:G3"/>
    <mergeCell ref="H2:H3"/>
    <mergeCell ref="I2:I3"/>
    <mergeCell ref="J2:J3"/>
    <mergeCell ref="K2:K3"/>
    <mergeCell ref="L2:L3"/>
    <mergeCell ref="A2:A3"/>
    <mergeCell ref="B2:B3"/>
    <mergeCell ref="C2:C3"/>
    <mergeCell ref="D2:D3"/>
    <mergeCell ref="E2:E3"/>
    <mergeCell ref="F2:F3"/>
  </mergeCells>
  <pageMargins left="0.7" right="0.7" top="0.75" bottom="0.75" header="0.3" footer="0.3"/>
  <pageSetup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52"/>
  <sheetViews>
    <sheetView topLeftCell="C1" workbookViewId="0">
      <selection activeCell="M17" sqref="M17"/>
    </sheetView>
  </sheetViews>
  <sheetFormatPr baseColWidth="10" defaultRowHeight="15.75"/>
  <cols>
    <col min="2" max="2" width="13.375" customWidth="1"/>
    <col min="5" max="5" width="12.375" bestFit="1" customWidth="1"/>
    <col min="6" max="6" width="12.5" bestFit="1" customWidth="1"/>
    <col min="9" max="10" width="11.125" bestFit="1" customWidth="1"/>
    <col min="11" max="11" width="6.875" bestFit="1" customWidth="1"/>
    <col min="12" max="12" width="9" customWidth="1"/>
  </cols>
  <sheetData>
    <row r="1" spans="1:26" s="76" customFormat="1"/>
    <row r="2" spans="1:26" s="76" customFormat="1">
      <c r="B2" s="76">
        <v>4.791269574317001E-2</v>
      </c>
    </row>
    <row r="3" spans="1:26" s="76" customFormat="1" ht="16.5" thickBot="1"/>
    <row r="4" spans="1:26" ht="14.45" customHeight="1">
      <c r="A4" s="76"/>
      <c r="B4" s="76"/>
      <c r="C4" s="76"/>
      <c r="I4" s="263" t="s">
        <v>78</v>
      </c>
      <c r="J4" s="264" t="s">
        <v>79</v>
      </c>
      <c r="K4" s="370" t="s">
        <v>80</v>
      </c>
      <c r="L4" s="370" t="s">
        <v>81</v>
      </c>
      <c r="M4" s="76"/>
      <c r="N4" s="76"/>
      <c r="O4" s="76"/>
      <c r="P4" s="76"/>
      <c r="Q4" s="76"/>
      <c r="R4" s="76"/>
      <c r="S4" s="76"/>
      <c r="T4" s="76"/>
      <c r="U4" s="76"/>
      <c r="V4" s="76"/>
      <c r="W4" s="76"/>
      <c r="X4" s="76"/>
      <c r="Y4" s="76"/>
      <c r="Z4" s="76"/>
    </row>
    <row r="5" spans="1:26" ht="16.5" thickBot="1">
      <c r="A5" s="76"/>
      <c r="B5" s="76">
        <v>2400898</v>
      </c>
      <c r="C5" s="76"/>
      <c r="D5" s="247" t="s">
        <v>82</v>
      </c>
      <c r="E5" s="247" t="s">
        <v>83</v>
      </c>
      <c r="F5" s="247" t="s">
        <v>84</v>
      </c>
      <c r="G5" s="247" t="s">
        <v>85</v>
      </c>
      <c r="H5" s="247" t="s">
        <v>86</v>
      </c>
      <c r="I5" s="265" t="s">
        <v>87</v>
      </c>
      <c r="J5" s="266" t="s">
        <v>88</v>
      </c>
      <c r="K5" s="370"/>
      <c r="L5" s="370"/>
      <c r="M5" s="76"/>
      <c r="N5" s="76"/>
      <c r="O5" s="76"/>
      <c r="P5" s="76"/>
      <c r="Q5" s="76"/>
      <c r="R5" s="76"/>
      <c r="S5" s="76"/>
      <c r="T5" s="76"/>
      <c r="U5" s="76"/>
      <c r="V5" s="76"/>
      <c r="W5" s="76"/>
      <c r="X5" s="76"/>
      <c r="Y5" s="76"/>
      <c r="Z5" s="76"/>
    </row>
    <row r="6" spans="1:26" ht="16.5" thickBot="1">
      <c r="A6" s="76"/>
      <c r="B6" s="76">
        <v>2454672</v>
      </c>
      <c r="C6" s="76"/>
      <c r="D6" s="218" t="s">
        <v>89</v>
      </c>
      <c r="E6" s="219">
        <v>118.4</v>
      </c>
      <c r="F6" s="219">
        <v>155.80000000000001</v>
      </c>
      <c r="G6" s="219">
        <v>151.19999999999999</v>
      </c>
      <c r="H6" s="261">
        <v>126874.5</v>
      </c>
      <c r="I6" s="267">
        <v>111339.3</v>
      </c>
      <c r="J6" s="268">
        <f>'PPA proposal'!D5</f>
        <v>2654781</v>
      </c>
      <c r="K6" s="113">
        <f>'PPA proposal'!C5</f>
        <v>45658</v>
      </c>
      <c r="L6" s="114">
        <f>'PPA proposal'!E5</f>
        <v>2.2581000000000002</v>
      </c>
      <c r="M6" s="76"/>
      <c r="N6" s="76"/>
      <c r="O6" s="76"/>
      <c r="P6" s="76"/>
      <c r="Q6" s="76"/>
      <c r="R6" s="76"/>
      <c r="S6" s="76"/>
      <c r="T6" s="76"/>
      <c r="U6" s="76"/>
      <c r="V6" s="76"/>
      <c r="W6" s="76"/>
      <c r="X6" s="76"/>
      <c r="Y6" s="76"/>
      <c r="Z6" s="76"/>
    </row>
    <row r="7" spans="1:26" ht="16.5" thickBot="1">
      <c r="A7" s="76"/>
      <c r="B7" s="76">
        <v>3000929</v>
      </c>
      <c r="C7" s="76"/>
      <c r="D7" s="218" t="s">
        <v>90</v>
      </c>
      <c r="E7" s="219">
        <v>134.19999999999999</v>
      </c>
      <c r="F7" s="219">
        <v>164.1</v>
      </c>
      <c r="G7" s="219">
        <v>161.6</v>
      </c>
      <c r="H7" s="261">
        <v>136025.20000000001</v>
      </c>
      <c r="I7" s="269">
        <v>117534.9</v>
      </c>
      <c r="J7" s="270">
        <f>'PPA proposal'!D6</f>
        <v>3040045</v>
      </c>
      <c r="K7" s="262">
        <f>'PPA proposal'!C6</f>
        <v>45689</v>
      </c>
      <c r="L7" s="115">
        <f>'PPA proposal'!E6</f>
        <v>2.3336000000000001</v>
      </c>
      <c r="M7" s="76"/>
      <c r="N7" s="76"/>
      <c r="O7" s="76"/>
      <c r="P7" s="76"/>
      <c r="Q7" s="76"/>
      <c r="R7" s="76"/>
      <c r="S7" s="76"/>
      <c r="T7" s="76"/>
      <c r="U7" s="76"/>
      <c r="V7" s="76"/>
      <c r="W7" s="76"/>
      <c r="X7" s="76"/>
      <c r="Y7" s="76"/>
      <c r="Z7" s="76"/>
    </row>
    <row r="8" spans="1:26" ht="16.5" thickBot="1">
      <c r="A8" s="76"/>
      <c r="B8" s="76">
        <v>2950214</v>
      </c>
      <c r="C8" s="76"/>
      <c r="D8" s="218" t="s">
        <v>91</v>
      </c>
      <c r="E8" s="219">
        <v>177.9</v>
      </c>
      <c r="F8" s="219">
        <v>198.2</v>
      </c>
      <c r="G8" s="219">
        <v>195.6</v>
      </c>
      <c r="H8" s="261">
        <v>165120.5</v>
      </c>
      <c r="I8" s="267">
        <v>138881.60000000001</v>
      </c>
      <c r="J8" s="268">
        <f>'PPA proposal'!D7</f>
        <v>2832930</v>
      </c>
      <c r="K8" s="113">
        <f>'PPA proposal'!C7</f>
        <v>45717</v>
      </c>
      <c r="L8" s="114">
        <f>'PPA proposal'!E7</f>
        <v>2.1981000000000002</v>
      </c>
      <c r="M8" s="76"/>
      <c r="N8" s="76"/>
      <c r="O8" s="76"/>
      <c r="P8" s="76"/>
      <c r="Q8" s="76"/>
      <c r="R8" s="76"/>
      <c r="S8" s="76"/>
      <c r="T8" s="76"/>
      <c r="U8" s="76"/>
      <c r="V8" s="76"/>
      <c r="W8" s="76"/>
      <c r="X8" s="76"/>
      <c r="Y8" s="76"/>
      <c r="Z8" s="76"/>
    </row>
    <row r="9" spans="1:26" ht="16.5" thickBot="1">
      <c r="A9" s="76"/>
      <c r="B9" s="76">
        <v>3070522</v>
      </c>
      <c r="C9" s="76"/>
      <c r="D9" s="218" t="s">
        <v>92</v>
      </c>
      <c r="E9" s="219">
        <v>200</v>
      </c>
      <c r="F9" s="219">
        <v>204.4</v>
      </c>
      <c r="G9" s="219">
        <v>201.4</v>
      </c>
      <c r="H9" s="261">
        <v>170768.5</v>
      </c>
      <c r="I9" s="269">
        <v>144419.4</v>
      </c>
      <c r="J9" s="270">
        <f>'PPA proposal'!D8</f>
        <v>2931989</v>
      </c>
      <c r="K9" s="262">
        <f>'PPA proposal'!C8</f>
        <v>45748</v>
      </c>
      <c r="L9" s="115">
        <f>'PPA proposal'!E8</f>
        <v>2.2871999999999999</v>
      </c>
      <c r="M9" s="76"/>
      <c r="N9" s="76"/>
      <c r="O9" s="76"/>
      <c r="P9" s="76"/>
      <c r="Q9" s="76"/>
      <c r="R9" s="76"/>
      <c r="S9" s="76"/>
      <c r="T9" s="76"/>
      <c r="U9" s="76"/>
      <c r="V9" s="76"/>
      <c r="W9" s="76"/>
      <c r="X9" s="76"/>
      <c r="Y9" s="76"/>
      <c r="Z9" s="76"/>
    </row>
    <row r="10" spans="1:26" ht="16.5" thickBot="1">
      <c r="A10" s="76"/>
      <c r="B10" s="76">
        <v>3104036</v>
      </c>
      <c r="C10" s="76"/>
      <c r="D10" s="218" t="s">
        <v>93</v>
      </c>
      <c r="E10" s="219">
        <v>199.4</v>
      </c>
      <c r="F10" s="219">
        <v>191.2</v>
      </c>
      <c r="G10" s="219">
        <v>188.1</v>
      </c>
      <c r="H10" s="261">
        <v>160393</v>
      </c>
      <c r="I10" s="267">
        <v>135918.20000000001</v>
      </c>
      <c r="J10" s="268">
        <f>'PPA proposal'!D9</f>
        <v>3230098</v>
      </c>
      <c r="K10" s="113">
        <f>'PPA proposal'!C9</f>
        <v>45778</v>
      </c>
      <c r="L10" s="114">
        <f>'PPA proposal'!E9</f>
        <v>2.2856999999999998</v>
      </c>
      <c r="M10" s="76"/>
      <c r="N10" s="76"/>
      <c r="O10" s="76"/>
      <c r="P10" s="76"/>
      <c r="Q10" s="76"/>
      <c r="R10" s="76"/>
      <c r="S10" s="76"/>
      <c r="T10" s="76"/>
      <c r="U10" s="76"/>
      <c r="V10" s="76"/>
      <c r="W10" s="76"/>
      <c r="X10" s="76"/>
      <c r="Y10" s="76"/>
      <c r="Z10" s="76"/>
    </row>
    <row r="11" spans="1:26" ht="16.5" thickBot="1">
      <c r="A11" s="76"/>
      <c r="B11" s="76">
        <v>3081352</v>
      </c>
      <c r="C11" s="76"/>
      <c r="D11" s="218" t="s">
        <v>94</v>
      </c>
      <c r="E11" s="219">
        <v>218.1</v>
      </c>
      <c r="F11" s="219">
        <v>202.9</v>
      </c>
      <c r="G11" s="219">
        <v>199.8</v>
      </c>
      <c r="H11" s="261">
        <v>170541.2</v>
      </c>
      <c r="I11" s="269">
        <v>145828.70000000001</v>
      </c>
      <c r="J11" s="270">
        <f>'PPA proposal'!D10</f>
        <v>2483106</v>
      </c>
      <c r="K11" s="262">
        <f>'PPA proposal'!C10</f>
        <v>45444</v>
      </c>
      <c r="L11" s="115">
        <f>'PPA proposal'!E10</f>
        <v>2.2242999999999999</v>
      </c>
      <c r="M11" s="76"/>
      <c r="N11" s="76"/>
      <c r="O11" s="76"/>
      <c r="P11" s="76"/>
      <c r="Q11" s="76"/>
      <c r="R11" s="76"/>
      <c r="S11" s="76"/>
      <c r="T11" s="76"/>
      <c r="U11" s="76"/>
      <c r="V11" s="76"/>
      <c r="W11" s="76"/>
      <c r="X11" s="76"/>
      <c r="Y11" s="76"/>
      <c r="Z11" s="76"/>
    </row>
    <row r="12" spans="1:26" ht="16.5" thickBot="1">
      <c r="A12" s="76"/>
      <c r="B12" s="76">
        <v>3197185</v>
      </c>
      <c r="C12" s="76"/>
      <c r="D12" s="218" t="s">
        <v>95</v>
      </c>
      <c r="E12" s="219">
        <v>216.2</v>
      </c>
      <c r="F12" s="219">
        <v>204.6</v>
      </c>
      <c r="G12" s="219">
        <v>201.6</v>
      </c>
      <c r="H12" s="261">
        <v>171933.2</v>
      </c>
      <c r="I12" s="267">
        <v>146832.9</v>
      </c>
      <c r="J12" s="268">
        <f>'PPA proposal'!D11</f>
        <v>2387963</v>
      </c>
      <c r="K12" s="113">
        <f>'PPA proposal'!C11</f>
        <v>45474</v>
      </c>
      <c r="L12" s="114">
        <f>'PPA proposal'!E11</f>
        <v>2.2513999999999998</v>
      </c>
      <c r="M12" s="76"/>
      <c r="N12" s="76"/>
      <c r="O12" s="76"/>
      <c r="P12" s="76"/>
      <c r="Q12" s="76"/>
      <c r="R12" s="76"/>
      <c r="S12" s="76"/>
      <c r="T12" s="76"/>
      <c r="U12" s="76"/>
      <c r="V12" s="76"/>
      <c r="W12" s="76"/>
      <c r="X12" s="76"/>
      <c r="Y12" s="76"/>
      <c r="Z12" s="76"/>
    </row>
    <row r="13" spans="1:26" ht="16.5" thickBot="1">
      <c r="A13" s="76"/>
      <c r="B13" s="76">
        <v>2681876</v>
      </c>
      <c r="C13" s="76"/>
      <c r="D13" s="218" t="s">
        <v>96</v>
      </c>
      <c r="E13" s="219">
        <v>220.5</v>
      </c>
      <c r="F13" s="219">
        <v>220</v>
      </c>
      <c r="G13" s="219">
        <v>217.1</v>
      </c>
      <c r="H13" s="261">
        <v>184395.1</v>
      </c>
      <c r="I13" s="269">
        <v>156810.20000000001</v>
      </c>
      <c r="J13" s="270">
        <f>'PPA proposal'!D12</f>
        <v>3623015</v>
      </c>
      <c r="K13" s="262">
        <f>'PPA proposal'!C12</f>
        <v>45505</v>
      </c>
      <c r="L13" s="115">
        <f>'PPA proposal'!E12</f>
        <v>2.2513999999999998</v>
      </c>
      <c r="M13" s="76"/>
      <c r="N13" s="76"/>
      <c r="O13" s="76"/>
      <c r="P13" s="76"/>
      <c r="Q13" s="76"/>
      <c r="R13" s="76"/>
      <c r="S13" s="76"/>
      <c r="T13" s="76"/>
      <c r="U13" s="76"/>
      <c r="V13" s="76"/>
      <c r="W13" s="76"/>
      <c r="X13" s="76"/>
      <c r="Y13" s="76"/>
      <c r="Z13" s="76"/>
    </row>
    <row r="14" spans="1:26" ht="16.5" thickBot="1">
      <c r="A14" s="76"/>
      <c r="B14" s="76">
        <v>2916678</v>
      </c>
      <c r="C14" s="76"/>
      <c r="D14" s="218" t="s">
        <v>97</v>
      </c>
      <c r="E14" s="219">
        <v>171.6</v>
      </c>
      <c r="F14" s="219">
        <v>184.2</v>
      </c>
      <c r="G14" s="219">
        <v>181.6</v>
      </c>
      <c r="H14" s="261">
        <v>153741.1</v>
      </c>
      <c r="I14" s="267">
        <v>131912.79999999999</v>
      </c>
      <c r="J14" s="268">
        <f>'PPA proposal'!D13</f>
        <v>1862728</v>
      </c>
      <c r="K14" s="113">
        <f>'PPA proposal'!C13</f>
        <v>45536</v>
      </c>
      <c r="L14" s="114">
        <f>'PPA proposal'!E13</f>
        <v>2.2563</v>
      </c>
      <c r="M14" s="76"/>
      <c r="N14" s="76"/>
      <c r="O14" s="76"/>
      <c r="P14" s="76"/>
      <c r="Q14" s="76"/>
      <c r="R14" s="76"/>
      <c r="S14" s="76"/>
      <c r="T14" s="76"/>
      <c r="U14" s="76"/>
      <c r="V14" s="76"/>
      <c r="W14" s="76"/>
      <c r="X14" s="76"/>
      <c r="Y14" s="76"/>
      <c r="Z14" s="76"/>
    </row>
    <row r="15" spans="1:26" ht="16.5" thickBot="1">
      <c r="A15" s="76"/>
      <c r="B15" s="76">
        <v>2665724</v>
      </c>
      <c r="C15" s="76"/>
      <c r="D15" s="218" t="s">
        <v>98</v>
      </c>
      <c r="E15" s="219">
        <v>152.19999999999999</v>
      </c>
      <c r="F15" s="219">
        <v>179.8</v>
      </c>
      <c r="G15" s="219">
        <v>177</v>
      </c>
      <c r="H15" s="261">
        <v>149027.70000000001</v>
      </c>
      <c r="I15" s="269">
        <v>128600.5</v>
      </c>
      <c r="J15" s="270">
        <f>'PPA proposal'!D14</f>
        <v>2185472</v>
      </c>
      <c r="K15" s="262">
        <f>'PPA proposal'!C14</f>
        <v>45566</v>
      </c>
      <c r="L15" s="115">
        <f>'PPA proposal'!E14</f>
        <v>2.2644000000000002</v>
      </c>
      <c r="M15" s="76"/>
      <c r="N15" s="76"/>
      <c r="O15" s="76"/>
      <c r="P15" s="76"/>
      <c r="Q15" s="76"/>
      <c r="R15" s="76"/>
      <c r="S15" s="76"/>
      <c r="T15" s="76"/>
      <c r="U15" s="76"/>
      <c r="V15" s="76"/>
      <c r="W15" s="76"/>
      <c r="X15" s="76"/>
      <c r="Y15" s="76"/>
      <c r="Z15" s="76"/>
    </row>
    <row r="16" spans="1:26" ht="16.5" thickBot="1">
      <c r="A16" s="76"/>
      <c r="B16" s="76">
        <v>2291030</v>
      </c>
      <c r="C16" s="76"/>
      <c r="D16" s="218" t="s">
        <v>183</v>
      </c>
      <c r="E16" s="219">
        <v>116</v>
      </c>
      <c r="F16" s="219">
        <v>148.19999999999999</v>
      </c>
      <c r="G16" s="219">
        <v>144.19999999999999</v>
      </c>
      <c r="H16" s="261">
        <v>121115.7</v>
      </c>
      <c r="I16" s="267">
        <v>105277.4</v>
      </c>
      <c r="J16" s="268">
        <f>'PPA proposal'!D15</f>
        <v>2674153</v>
      </c>
      <c r="K16" s="113">
        <f>'PPA proposal'!C15</f>
        <v>45597</v>
      </c>
      <c r="L16" s="114">
        <f>'PPA proposal'!E15</f>
        <v>2.2690000000000001</v>
      </c>
      <c r="M16" s="76"/>
      <c r="N16" s="76"/>
      <c r="O16" s="76"/>
      <c r="P16" s="76"/>
      <c r="Q16" s="76"/>
      <c r="R16" s="76"/>
      <c r="S16" s="76"/>
      <c r="T16" s="76"/>
      <c r="U16" s="76"/>
      <c r="V16" s="76"/>
      <c r="W16" s="76"/>
      <c r="X16" s="76"/>
      <c r="Y16" s="76"/>
      <c r="Z16" s="76"/>
    </row>
    <row r="17" spans="1:26" ht="16.5" thickBot="1">
      <c r="A17" s="76"/>
      <c r="B17" s="76"/>
      <c r="C17" s="76"/>
      <c r="D17" s="218" t="s">
        <v>99</v>
      </c>
      <c r="E17" s="219">
        <v>106.4</v>
      </c>
      <c r="F17" s="219">
        <v>143.30000000000001</v>
      </c>
      <c r="G17" s="219">
        <v>137.19999999999999</v>
      </c>
      <c r="H17" s="261">
        <v>115173.9</v>
      </c>
      <c r="I17" s="271">
        <v>100891.4</v>
      </c>
      <c r="J17" s="272">
        <f>'PPA proposal'!D16</f>
        <v>2565084</v>
      </c>
      <c r="K17" s="262">
        <f>'PPA proposal'!C16</f>
        <v>45627</v>
      </c>
      <c r="L17" s="115">
        <f>'PPA proposal'!E16</f>
        <v>2.2115999999999998</v>
      </c>
      <c r="M17" s="76"/>
      <c r="N17" s="76"/>
      <c r="O17" s="76"/>
      <c r="P17" s="76"/>
      <c r="Q17" s="76"/>
      <c r="R17" s="76"/>
      <c r="S17" s="76"/>
      <c r="T17" s="76"/>
      <c r="U17" s="76"/>
      <c r="V17" s="76"/>
      <c r="W17" s="76"/>
      <c r="X17" s="76"/>
      <c r="Y17" s="76"/>
      <c r="Z17" s="76"/>
    </row>
    <row r="18" spans="1:26" ht="16.5" thickBot="1">
      <c r="A18" s="76"/>
      <c r="B18" s="76"/>
      <c r="C18" s="76"/>
      <c r="D18" s="116"/>
      <c r="E18" s="116"/>
      <c r="F18" s="116"/>
      <c r="G18" s="116"/>
      <c r="H18" s="116"/>
      <c r="I18" s="273">
        <f>SUM(I6:I17)</f>
        <v>1564247.3</v>
      </c>
      <c r="J18" s="273">
        <f>SUM(J6:J17)</f>
        <v>32471364</v>
      </c>
      <c r="K18" s="117"/>
      <c r="L18" s="118">
        <f>AVERAGE(L6:L17)</f>
        <v>2.2575916666666669</v>
      </c>
      <c r="M18" s="76"/>
      <c r="N18" s="76"/>
      <c r="O18" s="76"/>
      <c r="P18" s="76"/>
      <c r="Q18" s="76"/>
      <c r="R18" s="76"/>
      <c r="S18" s="76"/>
      <c r="T18" s="76"/>
      <c r="U18" s="76"/>
      <c r="V18" s="76"/>
      <c r="W18" s="76"/>
      <c r="X18" s="76"/>
      <c r="Y18" s="76"/>
      <c r="Z18" s="76"/>
    </row>
    <row r="19" spans="1:26" s="76" customFormat="1" ht="16.5" thickTop="1">
      <c r="H19" s="119"/>
      <c r="I19" s="120">
        <f>I18/J18</f>
        <v>4.8173131870900159E-2</v>
      </c>
      <c r="J19" s="121">
        <v>1</v>
      </c>
    </row>
    <row r="20" spans="1:26" s="76" customFormat="1">
      <c r="J20" s="87"/>
      <c r="K20" s="87"/>
      <c r="L20" s="87"/>
    </row>
    <row r="21" spans="1:26" s="76" customFormat="1">
      <c r="H21" s="122" t="s">
        <v>100</v>
      </c>
      <c r="I21" s="110">
        <f>I18-J18</f>
        <v>-30907116.699999999</v>
      </c>
      <c r="J21" s="87"/>
      <c r="K21" s="87"/>
      <c r="L21" s="87"/>
    </row>
    <row r="22" spans="1:26" s="76" customFormat="1">
      <c r="B22" s="111">
        <f>0.8037*I18</f>
        <v>1257185.55501</v>
      </c>
      <c r="D22" s="76">
        <v>1920</v>
      </c>
      <c r="E22" s="76">
        <f>D22/D24</f>
        <v>0.95143706640237857</v>
      </c>
      <c r="F22" s="111">
        <f>E22*I18</f>
        <v>1488282.8622398414</v>
      </c>
    </row>
    <row r="23" spans="1:26" s="76" customFormat="1">
      <c r="B23" s="111">
        <f>0.1963*I18</f>
        <v>307061.74499000004</v>
      </c>
      <c r="D23" s="76">
        <v>98</v>
      </c>
      <c r="E23" s="76">
        <f>D23/D24</f>
        <v>4.8562933597621406E-2</v>
      </c>
      <c r="F23" s="111">
        <f>E23*I18</f>
        <v>75964.437760158573</v>
      </c>
    </row>
    <row r="24" spans="1:26" ht="18" customHeight="1">
      <c r="B24" s="371">
        <f>SUM(B22:B23)</f>
        <v>1564247.3</v>
      </c>
      <c r="C24" s="372"/>
      <c r="D24" s="372">
        <f>SUM(D22:D23)</f>
        <v>2018</v>
      </c>
      <c r="E24" s="372"/>
      <c r="F24" s="372"/>
      <c r="G24" s="372"/>
      <c r="H24" s="76"/>
      <c r="I24" s="76"/>
      <c r="J24" s="76"/>
      <c r="K24" s="76"/>
      <c r="L24" s="76"/>
      <c r="M24" s="76"/>
      <c r="N24" s="76"/>
      <c r="O24" s="76"/>
      <c r="P24" s="76"/>
      <c r="Q24" s="76"/>
      <c r="R24" s="76"/>
      <c r="S24" s="76"/>
      <c r="T24" s="76"/>
      <c r="U24" s="76"/>
      <c r="V24" s="76"/>
      <c r="W24" s="76"/>
      <c r="X24" s="76"/>
      <c r="Y24" s="76"/>
    </row>
    <row r="25" spans="1:26">
      <c r="B25" s="372"/>
      <c r="C25" s="372"/>
      <c r="D25" s="372"/>
      <c r="E25" s="372"/>
      <c r="F25" s="372"/>
      <c r="G25" s="372"/>
      <c r="H25" s="76"/>
      <c r="I25" s="76"/>
      <c r="J25" s="76"/>
      <c r="K25" s="76"/>
      <c r="L25" s="76"/>
      <c r="M25" s="76"/>
      <c r="N25" s="76"/>
      <c r="O25" s="76">
        <v>1</v>
      </c>
      <c r="P25" s="76"/>
      <c r="Q25" s="76"/>
      <c r="R25" s="76"/>
      <c r="S25" s="76"/>
      <c r="T25" s="76"/>
      <c r="U25" s="76"/>
      <c r="V25" s="76"/>
      <c r="W25" s="76"/>
      <c r="X25" s="76"/>
      <c r="Y25" s="76"/>
    </row>
    <row r="26" spans="1:26">
      <c r="B26" s="76"/>
      <c r="C26" s="76"/>
      <c r="D26" s="76"/>
      <c r="E26" s="76"/>
      <c r="F26" s="76"/>
      <c r="G26" s="76"/>
      <c r="H26" s="76"/>
      <c r="I26" s="76"/>
      <c r="J26" s="76"/>
      <c r="K26" s="76"/>
      <c r="L26" s="76"/>
      <c r="M26" s="76"/>
      <c r="N26" s="76"/>
      <c r="O26" s="76"/>
      <c r="P26" s="76"/>
      <c r="Q26" s="76"/>
      <c r="R26" s="76"/>
      <c r="S26" s="76"/>
      <c r="T26" s="76"/>
      <c r="U26" s="76"/>
      <c r="V26" s="76"/>
      <c r="W26" s="76"/>
      <c r="X26" s="76"/>
      <c r="Y26" s="76"/>
    </row>
    <row r="27" spans="1:26">
      <c r="B27" s="76"/>
      <c r="C27" s="76"/>
      <c r="D27" s="76"/>
      <c r="E27" s="76"/>
      <c r="F27" s="76"/>
      <c r="G27" s="76"/>
      <c r="H27" s="76"/>
      <c r="I27" s="76"/>
      <c r="J27" s="76"/>
      <c r="K27" s="76"/>
      <c r="L27" s="76"/>
      <c r="M27" s="76"/>
      <c r="N27" s="76"/>
      <c r="O27" s="76"/>
      <c r="P27" s="76"/>
      <c r="Q27" s="76"/>
      <c r="R27" s="76"/>
      <c r="S27" s="76"/>
      <c r="T27" s="76"/>
      <c r="U27" s="76"/>
      <c r="V27" s="76"/>
      <c r="W27" s="76"/>
      <c r="X27" s="76"/>
      <c r="Y27" s="76"/>
    </row>
    <row r="28" spans="1:26">
      <c r="B28" s="76"/>
      <c r="C28" s="76"/>
      <c r="D28" s="76"/>
      <c r="E28" s="76"/>
      <c r="F28" s="76"/>
      <c r="G28" s="76"/>
      <c r="H28" s="76"/>
      <c r="I28" s="76"/>
      <c r="J28" s="76"/>
      <c r="K28" s="76"/>
      <c r="L28" s="76"/>
      <c r="M28" s="76"/>
      <c r="N28" s="76"/>
      <c r="O28" s="76" t="s">
        <v>101</v>
      </c>
      <c r="P28" s="76"/>
      <c r="Q28" s="76"/>
      <c r="R28" s="76"/>
      <c r="S28" s="76"/>
      <c r="T28" s="76"/>
      <c r="U28" s="76"/>
      <c r="V28" s="76"/>
      <c r="W28" s="76"/>
      <c r="X28" s="76"/>
      <c r="Y28" s="76"/>
    </row>
    <row r="29" spans="1:26">
      <c r="B29" s="76"/>
      <c r="C29" s="76"/>
      <c r="D29" s="76"/>
      <c r="E29" s="76"/>
      <c r="F29" s="76"/>
      <c r="G29" s="76"/>
      <c r="H29" s="76"/>
      <c r="I29" s="76"/>
      <c r="J29" s="76"/>
      <c r="K29" s="76"/>
      <c r="L29" s="76"/>
      <c r="M29" s="76"/>
      <c r="N29" s="76"/>
      <c r="O29" s="76"/>
      <c r="P29" s="76"/>
      <c r="Q29" s="76"/>
      <c r="R29" s="76"/>
      <c r="S29" s="76"/>
      <c r="T29" s="76"/>
      <c r="U29" s="76"/>
      <c r="V29" s="76"/>
      <c r="W29" s="76"/>
      <c r="X29" s="76"/>
      <c r="Y29" s="76"/>
    </row>
    <row r="30" spans="1:26">
      <c r="B30" s="76"/>
      <c r="C30" s="76"/>
      <c r="D30" s="76"/>
      <c r="E30" s="76"/>
      <c r="F30" s="76"/>
      <c r="G30" s="76"/>
      <c r="H30" s="76"/>
      <c r="I30" s="76"/>
      <c r="J30" s="76"/>
      <c r="K30" s="76"/>
      <c r="L30" s="76"/>
      <c r="M30" s="76"/>
      <c r="N30" s="76"/>
      <c r="O30" s="76"/>
      <c r="P30" s="76"/>
      <c r="Q30" s="76"/>
      <c r="R30" s="76"/>
      <c r="S30" s="76"/>
      <c r="T30" s="76"/>
      <c r="U30" s="76"/>
      <c r="V30" s="76"/>
      <c r="W30" s="76"/>
      <c r="X30" s="76"/>
      <c r="Y30" s="76"/>
    </row>
    <row r="31" spans="1:26">
      <c r="B31" s="76"/>
      <c r="C31" s="76"/>
      <c r="D31" s="76"/>
      <c r="E31" s="76"/>
      <c r="F31" s="76"/>
      <c r="G31" s="76"/>
      <c r="H31" s="76"/>
      <c r="I31" s="76"/>
      <c r="J31" s="76"/>
      <c r="K31" s="76"/>
      <c r="L31" s="76"/>
      <c r="M31" s="76"/>
      <c r="N31" s="76"/>
      <c r="O31" s="76"/>
      <c r="P31" s="76"/>
      <c r="Q31" s="76"/>
      <c r="R31" s="76"/>
      <c r="S31" s="76"/>
      <c r="T31" s="76"/>
      <c r="U31" s="76"/>
      <c r="V31" s="76"/>
      <c r="W31" s="76"/>
      <c r="X31" s="76"/>
      <c r="Y31" s="76"/>
    </row>
    <row r="32" spans="1:26">
      <c r="B32" s="76"/>
      <c r="C32" s="76"/>
      <c r="D32" s="76"/>
      <c r="E32" s="76"/>
      <c r="F32" s="76"/>
      <c r="G32" s="76"/>
      <c r="H32" s="76"/>
      <c r="I32" s="76"/>
      <c r="J32" s="76"/>
      <c r="K32" s="76"/>
      <c r="L32" s="76"/>
      <c r="M32" s="76"/>
      <c r="N32" s="76"/>
      <c r="O32" s="76"/>
      <c r="P32" s="76"/>
      <c r="Q32" s="76"/>
      <c r="R32" s="76"/>
      <c r="S32" s="76"/>
      <c r="T32" s="76"/>
      <c r="U32" s="76"/>
      <c r="V32" s="76"/>
      <c r="W32" s="76"/>
      <c r="X32" s="76"/>
      <c r="Y32" s="76"/>
    </row>
    <row r="33" spans="2:25">
      <c r="B33" s="76"/>
      <c r="C33" s="76"/>
      <c r="D33" s="76"/>
      <c r="E33" s="76"/>
      <c r="F33" s="76"/>
      <c r="G33" s="76"/>
      <c r="H33" s="76"/>
      <c r="I33" s="76"/>
      <c r="J33" s="76"/>
      <c r="K33" s="76"/>
      <c r="L33" s="76"/>
      <c r="M33" s="76"/>
      <c r="N33" s="76"/>
      <c r="O33" s="76"/>
      <c r="P33" s="76"/>
      <c r="Q33" s="76"/>
      <c r="R33" s="76"/>
      <c r="S33" s="76"/>
      <c r="T33" s="76"/>
      <c r="U33" s="76"/>
      <c r="V33" s="76"/>
      <c r="W33" s="76"/>
      <c r="X33" s="76"/>
      <c r="Y33" s="76"/>
    </row>
    <row r="34" spans="2:25">
      <c r="B34" s="76"/>
      <c r="C34" s="76"/>
      <c r="D34" s="76"/>
      <c r="E34" s="76"/>
      <c r="F34" s="76"/>
      <c r="G34" s="76"/>
      <c r="H34" s="76"/>
      <c r="I34" s="76"/>
      <c r="J34" s="76"/>
      <c r="K34" s="76"/>
      <c r="L34" s="76"/>
      <c r="M34" s="76"/>
      <c r="N34" s="76"/>
      <c r="O34" s="76"/>
      <c r="P34" s="76"/>
      <c r="Q34" s="76"/>
      <c r="R34" s="76"/>
      <c r="S34" s="76"/>
      <c r="T34" s="76"/>
      <c r="U34" s="76"/>
      <c r="V34" s="76"/>
      <c r="W34" s="76"/>
      <c r="X34" s="76"/>
      <c r="Y34" s="76"/>
    </row>
    <row r="35" spans="2:25">
      <c r="B35" s="76"/>
      <c r="C35" s="76"/>
      <c r="D35" s="76"/>
      <c r="E35" s="76"/>
      <c r="F35" s="76"/>
      <c r="G35" s="76"/>
      <c r="H35" s="76"/>
      <c r="I35" s="76"/>
      <c r="J35" s="76"/>
      <c r="K35" s="76"/>
      <c r="L35" s="76"/>
      <c r="M35" s="76"/>
      <c r="N35" s="76"/>
      <c r="O35" s="76"/>
      <c r="P35" s="76"/>
      <c r="Q35" s="76"/>
      <c r="R35" s="76"/>
      <c r="S35" s="76"/>
      <c r="T35" s="76"/>
      <c r="U35" s="76"/>
      <c r="V35" s="76"/>
      <c r="W35" s="76"/>
      <c r="X35" s="76"/>
      <c r="Y35" s="76"/>
    </row>
    <row r="36" spans="2:25">
      <c r="B36" s="76"/>
      <c r="C36" s="76"/>
      <c r="D36" s="76"/>
      <c r="E36" s="76"/>
      <c r="F36" s="76"/>
      <c r="G36" s="76"/>
      <c r="H36" s="76"/>
      <c r="I36" s="76"/>
      <c r="J36" s="76"/>
      <c r="K36" s="76"/>
      <c r="L36" s="76"/>
      <c r="M36" s="76"/>
      <c r="N36" s="76"/>
      <c r="O36" s="76"/>
      <c r="P36" s="76"/>
      <c r="Q36" s="76"/>
      <c r="R36" s="76"/>
      <c r="S36" s="76"/>
      <c r="T36" s="76"/>
      <c r="U36" s="76"/>
      <c r="V36" s="76"/>
      <c r="W36" s="76"/>
      <c r="X36" s="76"/>
      <c r="Y36" s="76"/>
    </row>
    <row r="37" spans="2:25">
      <c r="B37" s="76"/>
      <c r="C37" s="76"/>
      <c r="D37" s="76"/>
      <c r="E37" s="76"/>
      <c r="F37" s="76"/>
      <c r="G37" s="76"/>
      <c r="H37" s="76"/>
      <c r="I37" s="76"/>
      <c r="J37" s="76"/>
      <c r="K37" s="76"/>
      <c r="L37" s="76"/>
      <c r="M37" s="76"/>
      <c r="N37" s="76"/>
      <c r="O37" s="76"/>
      <c r="P37" s="76"/>
      <c r="Q37" s="76"/>
      <c r="R37" s="76"/>
      <c r="S37" s="76"/>
      <c r="T37" s="76"/>
      <c r="U37" s="76"/>
      <c r="V37" s="76"/>
      <c r="W37" s="76"/>
      <c r="X37" s="76"/>
      <c r="Y37" s="76"/>
    </row>
    <row r="38" spans="2:25">
      <c r="B38" s="76"/>
      <c r="C38" s="76"/>
      <c r="D38" s="76"/>
      <c r="E38" s="76"/>
      <c r="F38" s="76"/>
      <c r="G38" s="76"/>
      <c r="H38" s="76"/>
      <c r="I38" s="76"/>
      <c r="J38" s="76"/>
      <c r="K38" s="76"/>
      <c r="L38" s="76"/>
      <c r="M38" s="76"/>
      <c r="N38" s="76"/>
      <c r="O38" s="76"/>
      <c r="P38" s="76"/>
      <c r="Q38" s="76"/>
      <c r="R38" s="76"/>
      <c r="S38" s="76"/>
      <c r="T38" s="76"/>
      <c r="U38" s="76"/>
      <c r="V38" s="76"/>
      <c r="W38" s="76"/>
      <c r="X38" s="76"/>
      <c r="Y38" s="76"/>
    </row>
    <row r="39" spans="2:25">
      <c r="B39" s="76"/>
      <c r="C39" s="76"/>
      <c r="D39" s="76"/>
      <c r="E39" s="76"/>
      <c r="F39" s="76"/>
      <c r="G39" s="76"/>
      <c r="H39" s="76"/>
      <c r="I39" s="76"/>
      <c r="J39" s="76"/>
      <c r="K39" s="76"/>
      <c r="L39" s="76"/>
      <c r="M39" s="76"/>
      <c r="N39" s="76"/>
      <c r="O39" s="76"/>
      <c r="P39" s="76"/>
      <c r="Q39" s="76"/>
      <c r="R39" s="76"/>
      <c r="S39" s="76"/>
      <c r="T39" s="76"/>
      <c r="U39" s="76"/>
      <c r="V39" s="76"/>
      <c r="W39" s="76"/>
      <c r="X39" s="76"/>
      <c r="Y39" s="76"/>
    </row>
    <row r="40" spans="2:25">
      <c r="B40" s="76"/>
      <c r="C40" s="76"/>
      <c r="D40" s="76"/>
      <c r="E40" s="76"/>
      <c r="F40" s="76"/>
      <c r="G40" s="76"/>
      <c r="H40" s="76"/>
      <c r="I40" s="76"/>
      <c r="J40" s="76"/>
      <c r="K40" s="76"/>
      <c r="L40" s="76"/>
      <c r="M40" s="76"/>
      <c r="N40" s="76"/>
      <c r="O40" s="76"/>
      <c r="P40" s="76"/>
      <c r="Q40" s="76"/>
      <c r="R40" s="76"/>
      <c r="S40" s="76"/>
      <c r="T40" s="76"/>
      <c r="U40" s="76"/>
      <c r="V40" s="76"/>
      <c r="W40" s="76"/>
      <c r="X40" s="76"/>
      <c r="Y40" s="76"/>
    </row>
    <row r="41" spans="2:25">
      <c r="B41" s="76"/>
      <c r="C41" s="76"/>
      <c r="D41" s="76"/>
      <c r="E41" s="76"/>
      <c r="F41" s="76"/>
      <c r="G41" s="76"/>
      <c r="H41" s="76"/>
      <c r="I41" s="76"/>
      <c r="J41" s="76"/>
      <c r="K41" s="76"/>
      <c r="L41" s="76"/>
      <c r="M41" s="76"/>
      <c r="N41" s="76"/>
      <c r="O41" s="76"/>
      <c r="P41" s="76"/>
      <c r="Q41" s="76"/>
      <c r="R41" s="76"/>
      <c r="S41" s="76"/>
      <c r="T41" s="76"/>
      <c r="U41" s="76"/>
      <c r="V41" s="76"/>
      <c r="W41" s="76"/>
      <c r="X41" s="76"/>
      <c r="Y41" s="76"/>
    </row>
    <row r="42" spans="2:25">
      <c r="B42" s="76"/>
      <c r="C42" s="76"/>
      <c r="D42" s="76"/>
      <c r="E42" s="76"/>
      <c r="F42" s="76"/>
      <c r="G42" s="76"/>
      <c r="H42" s="76"/>
      <c r="I42" s="76"/>
      <c r="J42" s="76"/>
      <c r="K42" s="76"/>
      <c r="L42" s="76"/>
      <c r="M42" s="76"/>
      <c r="N42" s="76"/>
      <c r="O42" s="76"/>
      <c r="P42" s="76"/>
      <c r="Q42" s="76"/>
      <c r="R42" s="76"/>
      <c r="S42" s="76"/>
      <c r="T42" s="76"/>
      <c r="U42" s="76"/>
      <c r="V42" s="76"/>
      <c r="W42" s="76"/>
      <c r="X42" s="76"/>
      <c r="Y42" s="76"/>
    </row>
    <row r="43" spans="2:25">
      <c r="B43" s="76"/>
      <c r="C43" s="76"/>
      <c r="D43" s="76"/>
      <c r="E43" s="76"/>
      <c r="F43" s="76"/>
      <c r="G43" s="76"/>
      <c r="H43" s="76"/>
      <c r="I43" s="76"/>
      <c r="J43" s="76"/>
      <c r="K43" s="76"/>
      <c r="L43" s="76"/>
      <c r="M43" s="76"/>
      <c r="N43" s="76"/>
      <c r="O43" s="76"/>
      <c r="P43" s="76"/>
      <c r="Q43" s="76"/>
      <c r="R43" s="76"/>
      <c r="S43" s="76"/>
      <c r="T43" s="76"/>
      <c r="U43" s="76"/>
      <c r="V43" s="76"/>
      <c r="W43" s="76"/>
      <c r="X43" s="76"/>
      <c r="Y43" s="76"/>
    </row>
    <row r="44" spans="2:25">
      <c r="C44" t="s">
        <v>102</v>
      </c>
      <c r="D44" s="123">
        <v>12503</v>
      </c>
      <c r="E44">
        <v>2.6709999999999998</v>
      </c>
    </row>
    <row r="45" spans="2:25">
      <c r="C45" t="s">
        <v>103</v>
      </c>
      <c r="D45" s="123">
        <v>15530</v>
      </c>
      <c r="E45">
        <v>2.5657000000000001</v>
      </c>
    </row>
    <row r="46" spans="2:25">
      <c r="C46" t="s">
        <v>104</v>
      </c>
      <c r="D46" s="123">
        <v>10672</v>
      </c>
      <c r="E46">
        <v>2.6141999999999999</v>
      </c>
    </row>
    <row r="47" spans="2:25">
      <c r="C47" t="s">
        <v>105</v>
      </c>
      <c r="D47" s="123">
        <v>9711</v>
      </c>
      <c r="E47">
        <v>2.4674</v>
      </c>
    </row>
    <row r="48" spans="2:25">
      <c r="C48" t="s">
        <v>106</v>
      </c>
      <c r="D48" s="123">
        <v>10567</v>
      </c>
      <c r="E48">
        <v>2.4988999999999999</v>
      </c>
      <c r="H48">
        <v>1</v>
      </c>
    </row>
    <row r="49" spans="3:5">
      <c r="C49" t="s">
        <v>107</v>
      </c>
      <c r="D49" s="123">
        <v>9586</v>
      </c>
      <c r="E49">
        <v>2.4615999999999998</v>
      </c>
    </row>
    <row r="50" spans="3:5">
      <c r="C50" t="s">
        <v>108</v>
      </c>
      <c r="D50" s="123">
        <v>9269</v>
      </c>
      <c r="E50">
        <v>2.5169000000000001</v>
      </c>
    </row>
    <row r="51" spans="3:5">
      <c r="C51" t="s">
        <v>109</v>
      </c>
      <c r="D51" s="123">
        <v>10184</v>
      </c>
      <c r="E51">
        <v>2.5428999999999999</v>
      </c>
    </row>
    <row r="52" spans="3:5">
      <c r="C52" t="s">
        <v>110</v>
      </c>
      <c r="D52" s="123">
        <v>11945</v>
      </c>
      <c r="E52">
        <v>2.5442999999999998</v>
      </c>
    </row>
  </sheetData>
  <mergeCells count="8">
    <mergeCell ref="K4:K5"/>
    <mergeCell ref="L4:L5"/>
    <mergeCell ref="B24:B25"/>
    <mergeCell ref="C24:C25"/>
    <mergeCell ref="D24:D25"/>
    <mergeCell ref="E24:E25"/>
    <mergeCell ref="F24:F25"/>
    <mergeCell ref="G24:G25"/>
  </mergeCells>
  <pageMargins left="0.7" right="0.7" top="0.75" bottom="0.75" header="0.3" footer="0.3"/>
  <pageSetup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M28"/>
  <sheetViews>
    <sheetView showGridLines="0" zoomScale="40" zoomScaleNormal="40" workbookViewId="0">
      <selection activeCell="L40" sqref="L40"/>
    </sheetView>
  </sheetViews>
  <sheetFormatPr baseColWidth="10" defaultRowHeight="15.75"/>
  <cols>
    <col min="1" max="1" width="15" bestFit="1" customWidth="1"/>
    <col min="2" max="2" width="8.5" customWidth="1"/>
    <col min="3" max="5" width="9.75" bestFit="1" customWidth="1"/>
    <col min="6" max="10" width="10.625" bestFit="1" customWidth="1"/>
    <col min="11" max="11" width="12.375" bestFit="1" customWidth="1"/>
  </cols>
  <sheetData>
    <row r="3" spans="2:11" ht="16.5" thickBot="1"/>
    <row r="4" spans="2:11">
      <c r="B4" s="373" t="s">
        <v>111</v>
      </c>
      <c r="C4" s="124" t="s">
        <v>112</v>
      </c>
      <c r="D4" s="125">
        <v>1</v>
      </c>
      <c r="E4" s="125">
        <v>2</v>
      </c>
      <c r="F4" s="125">
        <v>3</v>
      </c>
      <c r="G4" s="125">
        <v>4</v>
      </c>
      <c r="H4" s="125">
        <v>5</v>
      </c>
      <c r="I4" s="126">
        <v>6</v>
      </c>
      <c r="J4" s="126">
        <v>7</v>
      </c>
      <c r="K4" s="375" t="s">
        <v>113</v>
      </c>
    </row>
    <row r="5" spans="2:11" ht="16.5" thickBot="1">
      <c r="B5" s="374"/>
      <c r="C5" s="127">
        <v>2025</v>
      </c>
      <c r="D5" s="128">
        <v>2026</v>
      </c>
      <c r="E5" s="127">
        <v>2027</v>
      </c>
      <c r="F5" s="128">
        <v>2028</v>
      </c>
      <c r="G5" s="127">
        <v>2029</v>
      </c>
      <c r="H5" s="128">
        <v>2030</v>
      </c>
      <c r="I5" s="127">
        <v>2031</v>
      </c>
      <c r="J5" s="128">
        <v>2032</v>
      </c>
      <c r="K5" s="375"/>
    </row>
    <row r="6" spans="2:11">
      <c r="B6" s="129"/>
      <c r="C6" s="130"/>
      <c r="D6" s="131">
        <v>0.06</v>
      </c>
      <c r="E6" s="132"/>
      <c r="F6" s="132"/>
      <c r="G6" s="132"/>
      <c r="H6" s="132"/>
      <c r="I6" s="133"/>
      <c r="J6" s="133"/>
      <c r="K6" s="133"/>
    </row>
    <row r="7" spans="2:11">
      <c r="B7" s="134">
        <f>'PPA proposal'!C5</f>
        <v>45658</v>
      </c>
      <c r="C7" s="248">
        <f>'PPA proposal'!M5</f>
        <v>6955842.891876</v>
      </c>
      <c r="D7" s="248">
        <f t="shared" ref="D7:J18" si="0">(1+$D$6)*C7</f>
        <v>7373193.4653885607</v>
      </c>
      <c r="E7" s="248">
        <f t="shared" si="0"/>
        <v>7815585.0733118746</v>
      </c>
      <c r="F7" s="248">
        <f t="shared" si="0"/>
        <v>8284520.1777105872</v>
      </c>
      <c r="G7" s="248">
        <f t="shared" si="0"/>
        <v>8781591.3883732222</v>
      </c>
      <c r="H7" s="248">
        <f t="shared" si="0"/>
        <v>9308486.8716756161</v>
      </c>
      <c r="I7" s="249">
        <f t="shared" si="0"/>
        <v>9866996.0839761533</v>
      </c>
      <c r="J7" s="249">
        <f t="shared" si="0"/>
        <v>10459015.849014724</v>
      </c>
      <c r="K7" s="135">
        <f>SUM(D7:I7)</f>
        <v>51430373.06043601</v>
      </c>
    </row>
    <row r="8" spans="2:11">
      <c r="B8" s="136">
        <f>'PPA proposal'!C6</f>
        <v>45689</v>
      </c>
      <c r="C8" s="250">
        <f>'PPA proposal'!M6</f>
        <v>8231249.0135199986</v>
      </c>
      <c r="D8" s="250">
        <f t="shared" si="0"/>
        <v>8725123.9543311987</v>
      </c>
      <c r="E8" s="250">
        <f t="shared" si="0"/>
        <v>9248631.3915910702</v>
      </c>
      <c r="F8" s="250">
        <f t="shared" si="0"/>
        <v>9803549.2750865351</v>
      </c>
      <c r="G8" s="250">
        <f t="shared" si="0"/>
        <v>10391762.231591728</v>
      </c>
      <c r="H8" s="250">
        <f t="shared" si="0"/>
        <v>11015267.965487232</v>
      </c>
      <c r="I8" s="251">
        <f t="shared" si="0"/>
        <v>11676184.043416467</v>
      </c>
      <c r="J8" s="251">
        <f t="shared" si="0"/>
        <v>12376755.086021455</v>
      </c>
      <c r="K8" s="137">
        <f t="shared" ref="K8:K18" si="1">SUM(D8:I8)</f>
        <v>60860518.861504227</v>
      </c>
    </row>
    <row r="9" spans="2:11">
      <c r="B9" s="134">
        <f>'PPA proposal'!C7</f>
        <v>45717</v>
      </c>
      <c r="C9" s="248">
        <f>'PPA proposal'!M7</f>
        <v>7225313.7418799996</v>
      </c>
      <c r="D9" s="248">
        <f t="shared" si="0"/>
        <v>7658832.5663927998</v>
      </c>
      <c r="E9" s="248">
        <f t="shared" si="0"/>
        <v>8118362.5203763684</v>
      </c>
      <c r="F9" s="248">
        <f t="shared" si="0"/>
        <v>8605464.2715989519</v>
      </c>
      <c r="G9" s="248">
        <f t="shared" si="0"/>
        <v>9121792.1278948896</v>
      </c>
      <c r="H9" s="248">
        <f t="shared" si="0"/>
        <v>9669099.6555685829</v>
      </c>
      <c r="I9" s="249">
        <f t="shared" si="0"/>
        <v>10249245.634902699</v>
      </c>
      <c r="J9" s="249">
        <f t="shared" si="0"/>
        <v>10864200.372996861</v>
      </c>
      <c r="K9" s="135">
        <f t="shared" si="1"/>
        <v>53422796.776734293</v>
      </c>
    </row>
    <row r="10" spans="2:11">
      <c r="B10" s="136">
        <f>'PPA proposal'!C8</f>
        <v>45748</v>
      </c>
      <c r="C10" s="250">
        <f>'PPA proposal'!M8</f>
        <v>7780932.638927999</v>
      </c>
      <c r="D10" s="250">
        <f t="shared" si="0"/>
        <v>8247788.5972636789</v>
      </c>
      <c r="E10" s="250">
        <f t="shared" si="0"/>
        <v>8742655.9130994994</v>
      </c>
      <c r="F10" s="250">
        <f t="shared" si="0"/>
        <v>9267215.2678854708</v>
      </c>
      <c r="G10" s="250">
        <f t="shared" si="0"/>
        <v>9823248.1839585993</v>
      </c>
      <c r="H10" s="250">
        <f t="shared" si="0"/>
        <v>10412643.074996116</v>
      </c>
      <c r="I10" s="251">
        <f t="shared" si="0"/>
        <v>11037401.659495883</v>
      </c>
      <c r="J10" s="251">
        <f t="shared" si="0"/>
        <v>11699645.759065636</v>
      </c>
      <c r="K10" s="137">
        <f t="shared" si="1"/>
        <v>57530952.696699239</v>
      </c>
    </row>
    <row r="11" spans="2:11">
      <c r="B11" s="134">
        <f>'PPA proposal'!C9</f>
        <v>45778</v>
      </c>
      <c r="C11" s="248">
        <f>'PPA proposal'!M9</f>
        <v>8566240.7579759993</v>
      </c>
      <c r="D11" s="248">
        <f t="shared" si="0"/>
        <v>9080215.2034545597</v>
      </c>
      <c r="E11" s="248">
        <f t="shared" si="0"/>
        <v>9625028.1156618334</v>
      </c>
      <c r="F11" s="248">
        <f t="shared" si="0"/>
        <v>10202529.802601544</v>
      </c>
      <c r="G11" s="248">
        <f t="shared" si="0"/>
        <v>10814681.590757638</v>
      </c>
      <c r="H11" s="248">
        <f t="shared" si="0"/>
        <v>11463562.486203097</v>
      </c>
      <c r="I11" s="249">
        <f t="shared" si="0"/>
        <v>12151376.235375283</v>
      </c>
      <c r="J11" s="249">
        <f t="shared" si="0"/>
        <v>12880458.809497802</v>
      </c>
      <c r="K11" s="135">
        <f t="shared" si="1"/>
        <v>63337393.434053957</v>
      </c>
    </row>
    <row r="12" spans="2:11">
      <c r="B12" s="136">
        <f>'PPA proposal'!C10</f>
        <v>45444</v>
      </c>
      <c r="C12" s="250">
        <f>'PPA proposal'!M10</f>
        <v>6408800.4635279998</v>
      </c>
      <c r="D12" s="250">
        <f t="shared" si="0"/>
        <v>6793328.4913396798</v>
      </c>
      <c r="E12" s="250">
        <f t="shared" si="0"/>
        <v>7200928.2008200614</v>
      </c>
      <c r="F12" s="250">
        <f t="shared" si="0"/>
        <v>7632983.8928692658</v>
      </c>
      <c r="G12" s="250">
        <f t="shared" si="0"/>
        <v>8090962.9264414217</v>
      </c>
      <c r="H12" s="250">
        <f t="shared" si="0"/>
        <v>8576420.7020279076</v>
      </c>
      <c r="I12" s="251">
        <f t="shared" si="0"/>
        <v>9091005.9441495817</v>
      </c>
      <c r="J12" s="251">
        <f t="shared" si="0"/>
        <v>9636466.3007985577</v>
      </c>
      <c r="K12" s="137">
        <f t="shared" si="1"/>
        <v>47385630.157647923</v>
      </c>
    </row>
    <row r="13" spans="2:11">
      <c r="B13" s="134">
        <f>'PPA proposal'!C11</f>
        <v>45474</v>
      </c>
      <c r="C13" s="248">
        <f>'PPA proposal'!M11</f>
        <v>6238381.6415119991</v>
      </c>
      <c r="D13" s="248">
        <f t="shared" si="0"/>
        <v>6612684.5400027195</v>
      </c>
      <c r="E13" s="248">
        <f t="shared" si="0"/>
        <v>7009445.6124028834</v>
      </c>
      <c r="F13" s="248">
        <f t="shared" si="0"/>
        <v>7430012.3491470572</v>
      </c>
      <c r="G13" s="248">
        <f t="shared" si="0"/>
        <v>7875813.0900958814</v>
      </c>
      <c r="H13" s="248">
        <f t="shared" si="0"/>
        <v>8348361.8755016346</v>
      </c>
      <c r="I13" s="249">
        <f t="shared" si="0"/>
        <v>8849263.5880317334</v>
      </c>
      <c r="J13" s="249">
        <f t="shared" si="0"/>
        <v>9380219.4033136386</v>
      </c>
      <c r="K13" s="135">
        <f t="shared" si="1"/>
        <v>46125581.055181906</v>
      </c>
    </row>
    <row r="14" spans="2:11">
      <c r="B14" s="136">
        <f>'PPA proposal'!C12</f>
        <v>45505</v>
      </c>
      <c r="C14" s="250">
        <f>'PPA proposal'!M12</f>
        <v>9463873.0859599989</v>
      </c>
      <c r="D14" s="250">
        <f t="shared" si="0"/>
        <v>10031705.471117599</v>
      </c>
      <c r="E14" s="250">
        <f t="shared" si="0"/>
        <v>10633607.799384655</v>
      </c>
      <c r="F14" s="250">
        <f t="shared" si="0"/>
        <v>11271624.267347734</v>
      </c>
      <c r="G14" s="250">
        <f t="shared" si="0"/>
        <v>11947921.723388599</v>
      </c>
      <c r="H14" s="250">
        <f t="shared" si="0"/>
        <v>12664797.026791915</v>
      </c>
      <c r="I14" s="251">
        <f t="shared" si="0"/>
        <v>13424684.848399431</v>
      </c>
      <c r="J14" s="251">
        <f t="shared" si="0"/>
        <v>14230165.939303396</v>
      </c>
      <c r="K14" s="137">
        <f t="shared" si="1"/>
        <v>69974341.136429936</v>
      </c>
    </row>
    <row r="15" spans="2:11">
      <c r="B15" s="134">
        <f>'PPA proposal'!C13</f>
        <v>45536</v>
      </c>
      <c r="C15" s="248">
        <f>'PPA proposal'!M13</f>
        <v>4877253.0558239995</v>
      </c>
      <c r="D15" s="248">
        <f t="shared" si="0"/>
        <v>5169888.2391734393</v>
      </c>
      <c r="E15" s="248">
        <f t="shared" si="0"/>
        <v>5480081.5335238464</v>
      </c>
      <c r="F15" s="248">
        <f t="shared" si="0"/>
        <v>5808886.4255352775</v>
      </c>
      <c r="G15" s="248">
        <f t="shared" si="0"/>
        <v>6157419.6110673947</v>
      </c>
      <c r="H15" s="248">
        <f t="shared" si="0"/>
        <v>6526864.7877314389</v>
      </c>
      <c r="I15" s="249">
        <f t="shared" si="0"/>
        <v>6918476.6749953255</v>
      </c>
      <c r="J15" s="249">
        <f t="shared" si="0"/>
        <v>7333585.2754950458</v>
      </c>
      <c r="K15" s="135">
        <f t="shared" si="1"/>
        <v>36061617.272026718</v>
      </c>
    </row>
    <row r="16" spans="2:11">
      <c r="B16" s="136">
        <f>'PPA proposal'!C14</f>
        <v>45566</v>
      </c>
      <c r="C16" s="250">
        <f>'PPA proposal'!M14</f>
        <v>5742508.203888</v>
      </c>
      <c r="D16" s="250">
        <f t="shared" si="0"/>
        <v>6087058.6961212801</v>
      </c>
      <c r="E16" s="250">
        <f t="shared" si="0"/>
        <v>6452282.2178885574</v>
      </c>
      <c r="F16" s="250">
        <f t="shared" si="0"/>
        <v>6839419.1509618713</v>
      </c>
      <c r="G16" s="250">
        <f t="shared" si="0"/>
        <v>7249784.3000195837</v>
      </c>
      <c r="H16" s="250">
        <f t="shared" si="0"/>
        <v>7684771.3580207592</v>
      </c>
      <c r="I16" s="251">
        <f t="shared" si="0"/>
        <v>8145857.6395020047</v>
      </c>
      <c r="J16" s="251">
        <f t="shared" si="0"/>
        <v>8634609.097872125</v>
      </c>
      <c r="K16" s="137">
        <f t="shared" si="1"/>
        <v>42459173.362514056</v>
      </c>
    </row>
    <row r="17" spans="1:13">
      <c r="B17" s="134">
        <f>'PPA proposal'!C15</f>
        <v>45597</v>
      </c>
      <c r="C17" s="248">
        <f>'PPA proposal'!M15</f>
        <v>7040397.8217199994</v>
      </c>
      <c r="D17" s="248">
        <f t="shared" si="0"/>
        <v>7462821.6910231998</v>
      </c>
      <c r="E17" s="248">
        <f t="shared" si="0"/>
        <v>7910590.9924845919</v>
      </c>
      <c r="F17" s="248">
        <f t="shared" si="0"/>
        <v>8385226.4520336678</v>
      </c>
      <c r="G17" s="248">
        <f t="shared" si="0"/>
        <v>8888340.0391556881</v>
      </c>
      <c r="H17" s="248">
        <f t="shared" si="0"/>
        <v>9421640.4415050298</v>
      </c>
      <c r="I17" s="249">
        <f t="shared" si="0"/>
        <v>9986938.8679953329</v>
      </c>
      <c r="J17" s="249">
        <f t="shared" si="0"/>
        <v>10586155.200075053</v>
      </c>
      <c r="K17" s="135">
        <f t="shared" si="1"/>
        <v>52055558.484197512</v>
      </c>
    </row>
    <row r="18" spans="1:13" ht="16.5" thickBot="1">
      <c r="B18" s="136">
        <f>'PPA proposal'!C16</f>
        <v>45627</v>
      </c>
      <c r="C18" s="250">
        <f>'PPA proposal'!M16</f>
        <v>6582530.2979039988</v>
      </c>
      <c r="D18" s="252">
        <f t="shared" si="0"/>
        <v>6977482.1157782394</v>
      </c>
      <c r="E18" s="252">
        <f t="shared" si="0"/>
        <v>7396131.0427249344</v>
      </c>
      <c r="F18" s="252">
        <f t="shared" si="0"/>
        <v>7839898.9052884309</v>
      </c>
      <c r="G18" s="252">
        <f t="shared" si="0"/>
        <v>8310292.8396057375</v>
      </c>
      <c r="H18" s="252">
        <f t="shared" si="0"/>
        <v>8808910.4099820815</v>
      </c>
      <c r="I18" s="253">
        <f t="shared" si="0"/>
        <v>9337445.0345810074</v>
      </c>
      <c r="J18" s="253">
        <f t="shared" si="0"/>
        <v>9897691.7366558686</v>
      </c>
      <c r="K18" s="138">
        <f t="shared" si="1"/>
        <v>48670160.347960427</v>
      </c>
    </row>
    <row r="19" spans="1:13" s="5" customFormat="1" ht="30.75" thickBot="1">
      <c r="B19" s="170" t="s">
        <v>114</v>
      </c>
      <c r="C19" s="139">
        <f>SUM(C7:C18)</f>
        <v>85113323.614516005</v>
      </c>
      <c r="D19" s="139">
        <f t="shared" ref="D19:J19" si="2">1.06*C19</f>
        <v>90220123.031386971</v>
      </c>
      <c r="E19" s="139">
        <f t="shared" si="2"/>
        <v>95633330.41327019</v>
      </c>
      <c r="F19" s="139">
        <f t="shared" si="2"/>
        <v>101371330.23806641</v>
      </c>
      <c r="G19" s="139">
        <f t="shared" si="2"/>
        <v>107453610.0523504</v>
      </c>
      <c r="H19" s="139">
        <f t="shared" si="2"/>
        <v>113900826.65549143</v>
      </c>
      <c r="I19" s="139">
        <f t="shared" si="2"/>
        <v>120734876.25482091</v>
      </c>
      <c r="J19" s="139">
        <f t="shared" si="2"/>
        <v>127978968.83011018</v>
      </c>
      <c r="K19" s="140">
        <f>SUM(K7:K18)</f>
        <v>629314096.64538622</v>
      </c>
    </row>
    <row r="20" spans="1:13" s="5" customFormat="1">
      <c r="B20" s="379" t="s">
        <v>154</v>
      </c>
      <c r="C20" s="183" t="s">
        <v>155</v>
      </c>
      <c r="D20" s="184" t="s">
        <v>156</v>
      </c>
      <c r="E20" s="184" t="s">
        <v>157</v>
      </c>
      <c r="F20" s="184" t="s">
        <v>158</v>
      </c>
      <c r="G20" s="184" t="s">
        <v>159</v>
      </c>
      <c r="H20" s="184" t="s">
        <v>160</v>
      </c>
      <c r="I20" s="184" t="s">
        <v>161</v>
      </c>
      <c r="J20" s="185" t="s">
        <v>162</v>
      </c>
      <c r="K20" s="174"/>
      <c r="M20" s="5">
        <v>42328.89319715053</v>
      </c>
    </row>
    <row r="21" spans="1:13" s="5" customFormat="1" ht="16.5" thickBot="1">
      <c r="B21" s="380"/>
      <c r="C21" s="182">
        <v>2025</v>
      </c>
      <c r="D21" s="182">
        <v>2026</v>
      </c>
      <c r="E21" s="182">
        <v>2027</v>
      </c>
      <c r="F21" s="182">
        <v>2028</v>
      </c>
      <c r="G21" s="182">
        <v>2029</v>
      </c>
      <c r="H21" s="182">
        <v>2030</v>
      </c>
      <c r="I21" s="182">
        <v>2031</v>
      </c>
      <c r="J21" s="182">
        <v>2032</v>
      </c>
      <c r="K21" s="174"/>
    </row>
    <row r="22" spans="1:13" s="5" customFormat="1" ht="24.75" thickBot="1">
      <c r="B22" s="180" t="s">
        <v>153</v>
      </c>
      <c r="C22" s="181">
        <f t="shared" ref="C22:J22" si="3">(C19/12)</f>
        <v>7092776.9678763337</v>
      </c>
      <c r="D22" s="181">
        <f t="shared" si="3"/>
        <v>7518343.5859489143</v>
      </c>
      <c r="E22" s="181">
        <f t="shared" si="3"/>
        <v>7969444.2011058489</v>
      </c>
      <c r="F22" s="181">
        <f t="shared" si="3"/>
        <v>8447610.8531721998</v>
      </c>
      <c r="G22" s="181">
        <f t="shared" si="3"/>
        <v>8954467.5043625329</v>
      </c>
      <c r="H22" s="181">
        <f t="shared" si="3"/>
        <v>9491735.5546242855</v>
      </c>
      <c r="I22" s="181">
        <f t="shared" si="3"/>
        <v>10061239.687901743</v>
      </c>
      <c r="J22" s="181">
        <f t="shared" si="3"/>
        <v>10664914.069175849</v>
      </c>
      <c r="K22" s="141"/>
    </row>
    <row r="23" spans="1:13" s="5" customFormat="1" ht="24">
      <c r="A23" s="175" t="s">
        <v>151</v>
      </c>
      <c r="B23" s="171">
        <f>'Solar vs Load'!I19</f>
        <v>4.8173131870900159E-2</v>
      </c>
      <c r="C23" s="172">
        <f>$B$23*C22</f>
        <v>341681.28020439</v>
      </c>
      <c r="D23" s="172">
        <f t="shared" ref="D23:I23" si="4">$B$23*D22</f>
        <v>362182.15701665345</v>
      </c>
      <c r="E23" s="172">
        <f t="shared" si="4"/>
        <v>383913.08643765264</v>
      </c>
      <c r="F23" s="172">
        <f t="shared" si="4"/>
        <v>406947.87162391178</v>
      </c>
      <c r="G23" s="172">
        <f t="shared" si="4"/>
        <v>431364.74392134655</v>
      </c>
      <c r="H23" s="172">
        <f t="shared" si="4"/>
        <v>457246.62855662737</v>
      </c>
      <c r="I23" s="172">
        <f t="shared" si="4"/>
        <v>484681.42627002503</v>
      </c>
      <c r="J23" s="172">
        <f t="shared" ref="J23" si="5">$B$23*J22</f>
        <v>513762.31184622657</v>
      </c>
      <c r="K23" s="142"/>
    </row>
    <row r="24" spans="1:13" s="5" customFormat="1">
      <c r="A24" s="176" t="s">
        <v>147</v>
      </c>
      <c r="B24" s="169">
        <f>1-B23</f>
        <v>0.95182686812909989</v>
      </c>
      <c r="C24" s="166">
        <f>C19*$B$24</f>
        <v>81013148.252063334</v>
      </c>
      <c r="D24" s="166">
        <f t="shared" ref="D24:J24" si="6">D19*$B$24</f>
        <v>85873937.147187129</v>
      </c>
      <c r="E24" s="166">
        <f t="shared" si="6"/>
        <v>91026373.37601836</v>
      </c>
      <c r="F24" s="166">
        <f t="shared" si="6"/>
        <v>96487955.778579473</v>
      </c>
      <c r="G24" s="166">
        <f t="shared" si="6"/>
        <v>102277233.12529425</v>
      </c>
      <c r="H24" s="166">
        <f t="shared" si="6"/>
        <v>108413867.11281191</v>
      </c>
      <c r="I24" s="166">
        <f t="shared" si="6"/>
        <v>114918699.13958062</v>
      </c>
      <c r="J24" s="166">
        <f t="shared" si="6"/>
        <v>121813821.08795546</v>
      </c>
      <c r="K24" s="143"/>
    </row>
    <row r="25" spans="1:13" s="5" customFormat="1" ht="48.75" thickBot="1">
      <c r="A25" s="177" t="s">
        <v>148</v>
      </c>
      <c r="B25" s="178" t="s">
        <v>115</v>
      </c>
      <c r="C25" s="179">
        <v>0</v>
      </c>
      <c r="D25" s="179">
        <v>245942.92448566799</v>
      </c>
      <c r="E25" s="179">
        <v>245942.92448566799</v>
      </c>
      <c r="F25" s="179">
        <v>245942.92448566799</v>
      </c>
      <c r="G25" s="179">
        <v>245942.92448566799</v>
      </c>
      <c r="H25" s="179">
        <v>0</v>
      </c>
      <c r="I25" s="179">
        <v>0</v>
      </c>
      <c r="J25" s="179">
        <v>0</v>
      </c>
      <c r="K25" s="144"/>
    </row>
    <row r="26" spans="1:13" ht="13.7" hidden="1" customHeight="1" thickBot="1">
      <c r="B26" s="167" t="s">
        <v>12</v>
      </c>
      <c r="C26" s="168">
        <f>C23-C25</f>
        <v>341681.28020439</v>
      </c>
      <c r="D26" s="168">
        <f t="shared" ref="D26:I26" si="7">D23-D25</f>
        <v>116239.23253098546</v>
      </c>
      <c r="E26" s="168">
        <f t="shared" si="7"/>
        <v>137970.16195198466</v>
      </c>
      <c r="F26" s="168">
        <f t="shared" si="7"/>
        <v>161004.94713824379</v>
      </c>
      <c r="G26" s="168">
        <f t="shared" si="7"/>
        <v>185421.81943567857</v>
      </c>
      <c r="H26" s="168">
        <f t="shared" si="7"/>
        <v>457246.62855662737</v>
      </c>
      <c r="I26" s="168">
        <f t="shared" si="7"/>
        <v>484681.42627002503</v>
      </c>
      <c r="J26" s="145"/>
    </row>
    <row r="27" spans="1:13" ht="18" customHeight="1" thickBot="1">
      <c r="A27" s="378" t="s">
        <v>152</v>
      </c>
      <c r="B27" s="378"/>
      <c r="C27" s="378"/>
      <c r="D27" s="378"/>
      <c r="E27" s="378"/>
      <c r="F27" s="378"/>
      <c r="G27" s="378"/>
      <c r="H27" s="378"/>
      <c r="I27" s="378"/>
      <c r="J27" s="173"/>
    </row>
    <row r="28" spans="1:13" ht="16.5" thickBot="1">
      <c r="A28" s="376" t="s">
        <v>149</v>
      </c>
      <c r="B28" s="377"/>
      <c r="C28" s="186">
        <f t="shared" ref="C28:I28" si="8">C24+C25</f>
        <v>81013148.252063334</v>
      </c>
      <c r="D28" s="187">
        <f t="shared" si="8"/>
        <v>86119880.071672797</v>
      </c>
      <c r="E28" s="187">
        <f t="shared" si="8"/>
        <v>91272316.300504029</v>
      </c>
      <c r="F28" s="187">
        <f t="shared" si="8"/>
        <v>96733898.703065142</v>
      </c>
      <c r="G28" s="187">
        <f t="shared" si="8"/>
        <v>102523176.04977992</v>
      </c>
      <c r="H28" s="187">
        <f t="shared" si="8"/>
        <v>108413867.11281191</v>
      </c>
      <c r="I28" s="188">
        <f t="shared" si="8"/>
        <v>114918699.13958062</v>
      </c>
      <c r="J28" s="188">
        <f>J24+J25</f>
        <v>121813821.08795546</v>
      </c>
    </row>
  </sheetData>
  <mergeCells count="5">
    <mergeCell ref="B4:B5"/>
    <mergeCell ref="K4:K5"/>
    <mergeCell ref="A28:B28"/>
    <mergeCell ref="A27:I27"/>
    <mergeCell ref="B20:B21"/>
  </mergeCells>
  <pageMargins left="0.7" right="0.7" top="0.75" bottom="0.75" header="0.3" footer="0.3"/>
  <pageSetup paperSize="9" orientation="portrait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J42"/>
  <sheetViews>
    <sheetView zoomScale="90" zoomScaleNormal="90" workbookViewId="0"/>
  </sheetViews>
  <sheetFormatPr baseColWidth="10" defaultRowHeight="15.75"/>
  <cols>
    <col min="2" max="2" width="13.625" bestFit="1" customWidth="1"/>
    <col min="3" max="3" width="19.5" bestFit="1" customWidth="1"/>
    <col min="4" max="4" width="8" bestFit="1" customWidth="1"/>
    <col min="5" max="5" width="13.625" bestFit="1" customWidth="1"/>
    <col min="6" max="7" width="12.5" bestFit="1" customWidth="1"/>
    <col min="9" max="9" width="18.125" bestFit="1" customWidth="1"/>
    <col min="10" max="10" width="12.625" bestFit="1" customWidth="1"/>
    <col min="11" max="11" width="16.125" bestFit="1" customWidth="1"/>
    <col min="12" max="12" width="10.5" bestFit="1" customWidth="1"/>
    <col min="13" max="13" width="11.125" bestFit="1" customWidth="1"/>
  </cols>
  <sheetData>
    <row r="2" spans="2:10">
      <c r="B2" s="123">
        <v>710</v>
      </c>
      <c r="C2" t="s">
        <v>116</v>
      </c>
      <c r="E2" s="50"/>
      <c r="I2">
        <v>710</v>
      </c>
    </row>
    <row r="3" spans="2:10">
      <c r="B3" s="146">
        <v>1212</v>
      </c>
      <c r="C3" t="s">
        <v>117</v>
      </c>
      <c r="I3" s="54">
        <v>1282</v>
      </c>
    </row>
    <row r="4" spans="2:10">
      <c r="B4" s="123">
        <f>B2*B3</f>
        <v>860520</v>
      </c>
      <c r="C4" t="s">
        <v>118</v>
      </c>
      <c r="E4" s="123">
        <v>33815116</v>
      </c>
      <c r="I4" s="54">
        <f>I2*I3</f>
        <v>910220</v>
      </c>
    </row>
    <row r="5" spans="2:10">
      <c r="B5" s="148"/>
      <c r="I5">
        <f>I4/B4</f>
        <v>1.0577557755775577</v>
      </c>
      <c r="J5" s="221">
        <f>E4*I5</f>
        <v>35768134.250825085</v>
      </c>
    </row>
    <row r="6" spans="2:10">
      <c r="E6" s="162"/>
    </row>
    <row r="7" spans="2:10">
      <c r="B7" t="s">
        <v>119</v>
      </c>
      <c r="E7" t="s">
        <v>141</v>
      </c>
    </row>
    <row r="8" spans="2:10">
      <c r="B8" t="s">
        <v>120</v>
      </c>
      <c r="C8" s="149" t="s">
        <v>178</v>
      </c>
      <c r="E8" t="s">
        <v>120</v>
      </c>
      <c r="F8" t="s">
        <v>184</v>
      </c>
    </row>
    <row r="9" spans="2:10">
      <c r="B9" t="s">
        <v>140</v>
      </c>
      <c r="C9" t="s">
        <v>163</v>
      </c>
      <c r="E9" t="s">
        <v>140</v>
      </c>
      <c r="F9" t="s">
        <v>188</v>
      </c>
      <c r="G9">
        <v>70000</v>
      </c>
    </row>
    <row r="10" spans="2:10">
      <c r="B10" t="s">
        <v>121</v>
      </c>
      <c r="C10" s="150">
        <f>B2</f>
        <v>710</v>
      </c>
      <c r="E10" t="s">
        <v>122</v>
      </c>
      <c r="F10" s="54">
        <v>39</v>
      </c>
    </row>
    <row r="11" spans="2:10">
      <c r="B11" t="s">
        <v>122</v>
      </c>
      <c r="C11" s="150">
        <f>B3</f>
        <v>1212</v>
      </c>
      <c r="E11" t="s">
        <v>123</v>
      </c>
    </row>
    <row r="12" spans="2:10">
      <c r="B12" t="s">
        <v>123</v>
      </c>
      <c r="C12" s="151">
        <f>C10*C11</f>
        <v>860520</v>
      </c>
    </row>
    <row r="13" spans="2:10">
      <c r="C13" s="149"/>
    </row>
    <row r="14" spans="2:10">
      <c r="B14" t="s">
        <v>124</v>
      </c>
      <c r="C14" s="149" t="s">
        <v>182</v>
      </c>
    </row>
    <row r="15" spans="2:10">
      <c r="C15" s="149"/>
    </row>
    <row r="16" spans="2:10">
      <c r="B16" t="s">
        <v>125</v>
      </c>
      <c r="C16" s="149" t="s">
        <v>126</v>
      </c>
    </row>
    <row r="17" spans="7:7">
      <c r="G17" t="s">
        <v>139</v>
      </c>
    </row>
    <row r="36" spans="6:9">
      <c r="I36" s="50"/>
    </row>
    <row r="37" spans="6:9">
      <c r="F37" s="147"/>
      <c r="I37" s="50"/>
    </row>
    <row r="40" spans="6:9">
      <c r="F40" s="50"/>
    </row>
    <row r="42" spans="6:9">
      <c r="F42" s="50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D1:AN38"/>
  <sheetViews>
    <sheetView topLeftCell="D1" zoomScale="70" zoomScaleNormal="70" workbookViewId="0">
      <selection activeCell="K13" sqref="K13"/>
    </sheetView>
  </sheetViews>
  <sheetFormatPr baseColWidth="10" defaultColWidth="10.375" defaultRowHeight="15.75"/>
  <cols>
    <col min="1" max="8" width="10.375" style="76"/>
    <col min="9" max="9" width="11.375" style="76" bestFit="1" customWidth="1"/>
    <col min="10" max="10" width="9.125" style="76" bestFit="1" customWidth="1"/>
    <col min="11" max="12" width="13.625" style="76" bestFit="1" customWidth="1"/>
    <col min="13" max="35" width="12.625" style="76" bestFit="1" customWidth="1"/>
    <col min="36" max="36" width="10.125" bestFit="1" customWidth="1"/>
    <col min="37" max="40" width="12.625" style="76" bestFit="1" customWidth="1"/>
    <col min="41" max="16384" width="10.375" style="76"/>
  </cols>
  <sheetData>
    <row r="1" spans="6:40">
      <c r="G1" s="76" t="s">
        <v>127</v>
      </c>
      <c r="H1" s="76">
        <v>100</v>
      </c>
      <c r="J1" s="154" t="s">
        <v>195</v>
      </c>
      <c r="K1">
        <v>1</v>
      </c>
      <c r="L1" s="76">
        <v>0.99</v>
      </c>
      <c r="M1" s="276">
        <f t="shared" ref="M1:AN1" si="0">L1-$H$5</f>
        <v>0.98585714285714288</v>
      </c>
      <c r="N1" s="276">
        <f t="shared" si="0"/>
        <v>0.98171428571428576</v>
      </c>
      <c r="O1" s="276">
        <f t="shared" si="0"/>
        <v>0.97757142857142865</v>
      </c>
      <c r="P1" s="276">
        <f t="shared" si="0"/>
        <v>0.97342857142857153</v>
      </c>
      <c r="Q1" s="276">
        <f t="shared" si="0"/>
        <v>0.96928571428571442</v>
      </c>
      <c r="R1" s="276">
        <f t="shared" si="0"/>
        <v>0.9651428571428573</v>
      </c>
      <c r="S1" s="276">
        <f t="shared" si="0"/>
        <v>0.96100000000000019</v>
      </c>
      <c r="T1" s="276">
        <f t="shared" si="0"/>
        <v>0.95685714285714307</v>
      </c>
      <c r="U1" s="276">
        <f t="shared" si="0"/>
        <v>0.95271428571428596</v>
      </c>
      <c r="V1" s="276">
        <f t="shared" si="0"/>
        <v>0.94857142857142884</v>
      </c>
      <c r="W1" s="276">
        <f t="shared" si="0"/>
        <v>0.94442857142857173</v>
      </c>
      <c r="X1" s="276">
        <f t="shared" si="0"/>
        <v>0.94028571428571461</v>
      </c>
      <c r="Y1" s="276">
        <f t="shared" si="0"/>
        <v>0.9361428571428575</v>
      </c>
      <c r="Z1" s="276">
        <f t="shared" si="0"/>
        <v>0.93200000000000038</v>
      </c>
      <c r="AA1" s="276">
        <f t="shared" si="0"/>
        <v>0.92785714285714327</v>
      </c>
      <c r="AB1" s="276">
        <f t="shared" si="0"/>
        <v>0.92371428571428615</v>
      </c>
      <c r="AC1" s="276">
        <f t="shared" si="0"/>
        <v>0.91957142857142904</v>
      </c>
      <c r="AD1" s="276">
        <f t="shared" si="0"/>
        <v>0.91542857142857192</v>
      </c>
      <c r="AE1" s="276">
        <f t="shared" si="0"/>
        <v>0.91128571428571481</v>
      </c>
      <c r="AF1" s="276">
        <f t="shared" si="0"/>
        <v>0.90714285714285769</v>
      </c>
      <c r="AG1" s="276">
        <f t="shared" si="0"/>
        <v>0.90300000000000058</v>
      </c>
      <c r="AH1" s="276">
        <f t="shared" si="0"/>
        <v>0.89885714285714347</v>
      </c>
      <c r="AI1" s="276">
        <f t="shared" si="0"/>
        <v>0.89471428571428635</v>
      </c>
      <c r="AJ1" s="276">
        <f t="shared" si="0"/>
        <v>0.89057142857142924</v>
      </c>
      <c r="AK1" s="276">
        <f t="shared" si="0"/>
        <v>0.88642857142857212</v>
      </c>
      <c r="AL1" s="276">
        <f t="shared" si="0"/>
        <v>0.88228571428571501</v>
      </c>
      <c r="AM1" s="276">
        <f t="shared" si="0"/>
        <v>0.87814285714285789</v>
      </c>
      <c r="AN1" s="276">
        <f t="shared" si="0"/>
        <v>0.87400000000000078</v>
      </c>
    </row>
    <row r="2" spans="6:40">
      <c r="G2" s="76" t="s">
        <v>128</v>
      </c>
      <c r="H2" s="76">
        <v>0.99</v>
      </c>
      <c r="J2" s="152" t="s">
        <v>57</v>
      </c>
      <c r="K2" s="152" t="s">
        <v>129</v>
      </c>
    </row>
    <row r="3" spans="6:40" ht="16.5" thickBot="1">
      <c r="G3" s="76" t="s">
        <v>130</v>
      </c>
      <c r="H3" s="76">
        <v>0.874</v>
      </c>
      <c r="K3" s="153">
        <v>1</v>
      </c>
      <c r="L3" s="153">
        <v>2</v>
      </c>
      <c r="M3" s="153">
        <v>3</v>
      </c>
      <c r="N3" s="153">
        <v>4</v>
      </c>
      <c r="O3" s="153">
        <v>5</v>
      </c>
      <c r="P3" s="153">
        <v>6</v>
      </c>
      <c r="Q3" s="153">
        <v>7</v>
      </c>
      <c r="R3" s="153">
        <v>8</v>
      </c>
      <c r="S3" s="153">
        <v>9</v>
      </c>
      <c r="T3" s="153">
        <v>10</v>
      </c>
      <c r="U3" s="153">
        <v>11</v>
      </c>
      <c r="V3" s="153">
        <v>12</v>
      </c>
      <c r="W3" s="153">
        <v>13</v>
      </c>
      <c r="X3" s="153">
        <v>14</v>
      </c>
      <c r="Y3" s="153">
        <v>15</v>
      </c>
      <c r="Z3" s="153">
        <v>16</v>
      </c>
      <c r="AA3" s="153">
        <v>17</v>
      </c>
      <c r="AB3" s="153">
        <v>18</v>
      </c>
      <c r="AC3" s="153">
        <v>19</v>
      </c>
      <c r="AD3" s="153">
        <v>20</v>
      </c>
      <c r="AE3" s="153">
        <v>21</v>
      </c>
      <c r="AF3" s="153">
        <v>22</v>
      </c>
      <c r="AG3" s="153">
        <v>23</v>
      </c>
      <c r="AH3" s="153">
        <v>24</v>
      </c>
      <c r="AI3" s="153">
        <v>25</v>
      </c>
      <c r="AJ3" s="153">
        <v>26</v>
      </c>
      <c r="AK3" s="153">
        <v>27</v>
      </c>
      <c r="AL3" s="153">
        <v>28</v>
      </c>
      <c r="AM3" s="153">
        <v>29</v>
      </c>
      <c r="AN3" s="153">
        <v>30</v>
      </c>
    </row>
    <row r="4" spans="6:40">
      <c r="F4" s="381" t="s">
        <v>131</v>
      </c>
      <c r="G4" s="381"/>
      <c r="H4" s="111">
        <f>H2-H3</f>
        <v>0.11599999999999999</v>
      </c>
      <c r="J4" s="280" t="s">
        <v>132</v>
      </c>
      <c r="K4" s="281">
        <f>'Solar vs Load'!I6</f>
        <v>111339.3</v>
      </c>
      <c r="L4" s="277">
        <f>K4*$L$1</f>
        <v>110225.90700000001</v>
      </c>
      <c r="M4" s="277">
        <f>K4*M1</f>
        <v>109764.64418571429</v>
      </c>
      <c r="N4" s="277">
        <f>$K$4*N1</f>
        <v>109303.38137142858</v>
      </c>
      <c r="O4" s="277">
        <f t="shared" ref="O4:AN4" si="1">$K$4*O1</f>
        <v>108842.11855714287</v>
      </c>
      <c r="P4" s="277">
        <f t="shared" si="1"/>
        <v>108380.85574285715</v>
      </c>
      <c r="Q4" s="277">
        <f t="shared" si="1"/>
        <v>107919.59292857145</v>
      </c>
      <c r="R4" s="277">
        <f t="shared" si="1"/>
        <v>107458.33011428574</v>
      </c>
      <c r="S4" s="277">
        <f t="shared" si="1"/>
        <v>106997.06730000002</v>
      </c>
      <c r="T4" s="277">
        <f t="shared" si="1"/>
        <v>106535.80448571431</v>
      </c>
      <c r="U4" s="277">
        <f t="shared" si="1"/>
        <v>106074.5416714286</v>
      </c>
      <c r="V4" s="277">
        <f t="shared" si="1"/>
        <v>105613.2788571429</v>
      </c>
      <c r="W4" s="277">
        <f t="shared" si="1"/>
        <v>105152.01604285718</v>
      </c>
      <c r="X4" s="277">
        <f t="shared" si="1"/>
        <v>104690.75322857147</v>
      </c>
      <c r="Y4" s="277">
        <f t="shared" si="1"/>
        <v>104229.49041428576</v>
      </c>
      <c r="Z4" s="277">
        <f t="shared" si="1"/>
        <v>103768.22760000004</v>
      </c>
      <c r="AA4" s="277">
        <f t="shared" si="1"/>
        <v>103306.96478571433</v>
      </c>
      <c r="AB4" s="277">
        <f t="shared" si="1"/>
        <v>102845.70197142863</v>
      </c>
      <c r="AC4" s="277">
        <f t="shared" si="1"/>
        <v>102384.43915714292</v>
      </c>
      <c r="AD4" s="277">
        <f t="shared" si="1"/>
        <v>101923.1763428572</v>
      </c>
      <c r="AE4" s="277">
        <f t="shared" si="1"/>
        <v>101461.91352857149</v>
      </c>
      <c r="AF4" s="277">
        <f t="shared" si="1"/>
        <v>101000.65071428577</v>
      </c>
      <c r="AG4" s="277">
        <f t="shared" si="1"/>
        <v>100539.38790000007</v>
      </c>
      <c r="AH4" s="277">
        <f t="shared" si="1"/>
        <v>100078.12508571436</v>
      </c>
      <c r="AI4" s="277">
        <f t="shared" si="1"/>
        <v>99616.862271428647</v>
      </c>
      <c r="AJ4" s="277">
        <f t="shared" si="1"/>
        <v>99155.599457142933</v>
      </c>
      <c r="AK4" s="277">
        <f t="shared" si="1"/>
        <v>98694.336642857219</v>
      </c>
      <c r="AL4" s="277">
        <f t="shared" si="1"/>
        <v>98233.073828571505</v>
      </c>
      <c r="AM4" s="277">
        <f t="shared" si="1"/>
        <v>97771.811014285806</v>
      </c>
      <c r="AN4" s="277">
        <f t="shared" si="1"/>
        <v>97310.548200000092</v>
      </c>
    </row>
    <row r="5" spans="6:40">
      <c r="F5" s="381" t="s">
        <v>133</v>
      </c>
      <c r="G5" s="381"/>
      <c r="H5" s="155">
        <f>H4/28</f>
        <v>4.1428571428571426E-3</v>
      </c>
      <c r="J5" s="282" t="s">
        <v>134</v>
      </c>
      <c r="K5" s="283">
        <f>'Solar vs Load'!I7</f>
        <v>117534.9</v>
      </c>
      <c r="L5" s="284">
        <f>$K$5*L1</f>
        <v>116359.55099999999</v>
      </c>
      <c r="M5" s="284">
        <f t="shared" ref="M5:AN5" si="2">$K$5*M1</f>
        <v>115872.6207</v>
      </c>
      <c r="N5" s="284">
        <f t="shared" si="2"/>
        <v>115385.69040000001</v>
      </c>
      <c r="O5" s="284">
        <f t="shared" si="2"/>
        <v>114898.7601</v>
      </c>
      <c r="P5" s="284">
        <f t="shared" si="2"/>
        <v>114411.82980000001</v>
      </c>
      <c r="Q5" s="284">
        <f t="shared" si="2"/>
        <v>113924.89950000001</v>
      </c>
      <c r="R5" s="284">
        <f t="shared" si="2"/>
        <v>113437.96920000001</v>
      </c>
      <c r="S5" s="284">
        <f t="shared" si="2"/>
        <v>112951.03890000001</v>
      </c>
      <c r="T5" s="284">
        <f t="shared" si="2"/>
        <v>112464.10860000002</v>
      </c>
      <c r="U5" s="284">
        <f t="shared" si="2"/>
        <v>111977.17830000003</v>
      </c>
      <c r="V5" s="284">
        <f t="shared" si="2"/>
        <v>111490.24800000002</v>
      </c>
      <c r="W5" s="284">
        <f t="shared" si="2"/>
        <v>111003.31770000003</v>
      </c>
      <c r="X5" s="284">
        <f t="shared" si="2"/>
        <v>110516.38740000004</v>
      </c>
      <c r="Y5" s="284">
        <f t="shared" si="2"/>
        <v>110029.45710000004</v>
      </c>
      <c r="Z5" s="284">
        <f t="shared" si="2"/>
        <v>109542.52680000004</v>
      </c>
      <c r="AA5" s="284">
        <f t="shared" si="2"/>
        <v>109055.59650000004</v>
      </c>
      <c r="AB5" s="284">
        <f t="shared" si="2"/>
        <v>108568.66620000005</v>
      </c>
      <c r="AC5" s="284">
        <f t="shared" si="2"/>
        <v>108081.73590000004</v>
      </c>
      <c r="AD5" s="284">
        <f t="shared" si="2"/>
        <v>107594.80560000005</v>
      </c>
      <c r="AE5" s="284">
        <f t="shared" si="2"/>
        <v>107107.87530000006</v>
      </c>
      <c r="AF5" s="284">
        <f t="shared" si="2"/>
        <v>106620.94500000007</v>
      </c>
      <c r="AG5" s="284">
        <f t="shared" si="2"/>
        <v>106134.01470000006</v>
      </c>
      <c r="AH5" s="284">
        <f t="shared" si="2"/>
        <v>105647.08440000007</v>
      </c>
      <c r="AI5" s="284">
        <f t="shared" si="2"/>
        <v>105160.15410000007</v>
      </c>
      <c r="AJ5" s="284">
        <f t="shared" si="2"/>
        <v>104673.22380000008</v>
      </c>
      <c r="AK5" s="284">
        <f t="shared" si="2"/>
        <v>104186.29350000007</v>
      </c>
      <c r="AL5" s="284">
        <f t="shared" si="2"/>
        <v>103699.36320000008</v>
      </c>
      <c r="AM5" s="284">
        <f t="shared" si="2"/>
        <v>103212.43290000009</v>
      </c>
      <c r="AN5" s="284">
        <f t="shared" si="2"/>
        <v>102725.50260000008</v>
      </c>
    </row>
    <row r="6" spans="6:40">
      <c r="J6" s="280" t="s">
        <v>135</v>
      </c>
      <c r="K6" s="281">
        <f>'Solar vs Load'!I8</f>
        <v>138881.60000000001</v>
      </c>
      <c r="L6" s="277">
        <f>$K$6*L1</f>
        <v>137492.78400000001</v>
      </c>
      <c r="M6" s="277">
        <f t="shared" ref="M6:AN6" si="3">$K$6*M1</f>
        <v>136917.41737142857</v>
      </c>
      <c r="N6" s="277">
        <f t="shared" si="3"/>
        <v>136342.05074285716</v>
      </c>
      <c r="O6" s="277">
        <f t="shared" si="3"/>
        <v>135766.68411428574</v>
      </c>
      <c r="P6" s="277">
        <f t="shared" si="3"/>
        <v>135191.3174857143</v>
      </c>
      <c r="Q6" s="277">
        <f t="shared" si="3"/>
        <v>134615.95085714289</v>
      </c>
      <c r="R6" s="277">
        <f t="shared" si="3"/>
        <v>134040.58422857145</v>
      </c>
      <c r="S6" s="277">
        <f t="shared" si="3"/>
        <v>133465.21760000003</v>
      </c>
      <c r="T6" s="277">
        <f t="shared" si="3"/>
        <v>132889.85097142862</v>
      </c>
      <c r="U6" s="277">
        <f t="shared" si="3"/>
        <v>132314.48434285718</v>
      </c>
      <c r="V6" s="277">
        <f t="shared" si="3"/>
        <v>131739.11771428576</v>
      </c>
      <c r="W6" s="277">
        <f t="shared" si="3"/>
        <v>131163.75108571432</v>
      </c>
      <c r="X6" s="277">
        <f t="shared" si="3"/>
        <v>130588.38445714291</v>
      </c>
      <c r="Y6" s="277">
        <f t="shared" si="3"/>
        <v>130013.01782857148</v>
      </c>
      <c r="Z6" s="277">
        <f t="shared" si="3"/>
        <v>129437.65120000007</v>
      </c>
      <c r="AA6" s="277">
        <f t="shared" si="3"/>
        <v>128862.28457142864</v>
      </c>
      <c r="AB6" s="277">
        <f t="shared" si="3"/>
        <v>128286.91794285721</v>
      </c>
      <c r="AC6" s="277">
        <f t="shared" si="3"/>
        <v>127711.55131428578</v>
      </c>
      <c r="AD6" s="277">
        <f t="shared" si="3"/>
        <v>127136.18468571435</v>
      </c>
      <c r="AE6" s="277">
        <f t="shared" si="3"/>
        <v>126560.81805714294</v>
      </c>
      <c r="AF6" s="277">
        <f t="shared" si="3"/>
        <v>125985.45142857151</v>
      </c>
      <c r="AG6" s="277">
        <f t="shared" si="3"/>
        <v>125410.08480000008</v>
      </c>
      <c r="AH6" s="277">
        <f t="shared" si="3"/>
        <v>124834.71817142866</v>
      </c>
      <c r="AI6" s="277">
        <f t="shared" si="3"/>
        <v>124259.35154285724</v>
      </c>
      <c r="AJ6" s="277">
        <f t="shared" si="3"/>
        <v>123683.98491428581</v>
      </c>
      <c r="AK6" s="277">
        <f t="shared" si="3"/>
        <v>123108.61828571439</v>
      </c>
      <c r="AL6" s="277">
        <f t="shared" si="3"/>
        <v>122533.25165714296</v>
      </c>
      <c r="AM6" s="277">
        <f t="shared" si="3"/>
        <v>121957.88502857153</v>
      </c>
      <c r="AN6" s="277">
        <f t="shared" si="3"/>
        <v>121382.51840000012</v>
      </c>
    </row>
    <row r="7" spans="6:40">
      <c r="J7" s="282" t="s">
        <v>102</v>
      </c>
      <c r="K7" s="283">
        <f>'Solar vs Load'!I9</f>
        <v>144419.4</v>
      </c>
      <c r="L7" s="284">
        <f>$K$7*L1</f>
        <v>142975.20600000001</v>
      </c>
      <c r="M7" s="284">
        <f t="shared" ref="M7:AN7" si="4">$K$7*M1</f>
        <v>142376.89705714287</v>
      </c>
      <c r="N7" s="284">
        <f t="shared" si="4"/>
        <v>141778.58811428573</v>
      </c>
      <c r="O7" s="284">
        <f t="shared" si="4"/>
        <v>141180.27917142858</v>
      </c>
      <c r="P7" s="284">
        <f t="shared" si="4"/>
        <v>140581.97022857144</v>
      </c>
      <c r="Q7" s="284">
        <f t="shared" si="4"/>
        <v>139983.6612857143</v>
      </c>
      <c r="R7" s="284">
        <f t="shared" si="4"/>
        <v>139385.35234285716</v>
      </c>
      <c r="S7" s="284">
        <f t="shared" si="4"/>
        <v>138787.04340000002</v>
      </c>
      <c r="T7" s="284">
        <f t="shared" si="4"/>
        <v>138188.73445714288</v>
      </c>
      <c r="U7" s="284">
        <f t="shared" si="4"/>
        <v>137590.42551428574</v>
      </c>
      <c r="V7" s="284">
        <f t="shared" si="4"/>
        <v>136992.1165714286</v>
      </c>
      <c r="W7" s="284">
        <f t="shared" si="4"/>
        <v>136393.80762857146</v>
      </c>
      <c r="X7" s="284">
        <f t="shared" si="4"/>
        <v>135795.49868571432</v>
      </c>
      <c r="Y7" s="284">
        <f t="shared" si="4"/>
        <v>135197.18974285718</v>
      </c>
      <c r="Z7" s="284">
        <f t="shared" si="4"/>
        <v>134598.88080000004</v>
      </c>
      <c r="AA7" s="284">
        <f t="shared" si="4"/>
        <v>134000.5718571429</v>
      </c>
      <c r="AB7" s="284">
        <f t="shared" si="4"/>
        <v>133402.26291428576</v>
      </c>
      <c r="AC7" s="284">
        <f t="shared" si="4"/>
        <v>132803.95397142862</v>
      </c>
      <c r="AD7" s="284">
        <f t="shared" si="4"/>
        <v>132205.64502857148</v>
      </c>
      <c r="AE7" s="284">
        <f t="shared" si="4"/>
        <v>131607.33608571434</v>
      </c>
      <c r="AF7" s="284">
        <f t="shared" si="4"/>
        <v>131009.02714285722</v>
      </c>
      <c r="AG7" s="284">
        <f t="shared" si="4"/>
        <v>130410.71820000008</v>
      </c>
      <c r="AH7" s="284">
        <f t="shared" si="4"/>
        <v>129812.40925714294</v>
      </c>
      <c r="AI7" s="284">
        <f t="shared" si="4"/>
        <v>129214.1003142858</v>
      </c>
      <c r="AJ7" s="284">
        <f t="shared" si="4"/>
        <v>128615.79137142866</v>
      </c>
      <c r="AK7" s="284">
        <f t="shared" si="4"/>
        <v>128017.48242857153</v>
      </c>
      <c r="AL7" s="284">
        <f t="shared" si="4"/>
        <v>127419.17348571439</v>
      </c>
      <c r="AM7" s="284">
        <f t="shared" si="4"/>
        <v>126820.86454285725</v>
      </c>
      <c r="AN7" s="284">
        <f t="shared" si="4"/>
        <v>126222.55560000011</v>
      </c>
    </row>
    <row r="8" spans="6:40">
      <c r="J8" s="280" t="s">
        <v>103</v>
      </c>
      <c r="K8" s="281">
        <f>'Solar vs Load'!I10</f>
        <v>135918.20000000001</v>
      </c>
      <c r="L8" s="277">
        <f>$K$8*L1</f>
        <v>134559.01800000001</v>
      </c>
      <c r="M8" s="277">
        <f t="shared" ref="M8:AN8" si="5">$K$8*M1</f>
        <v>133995.92831428573</v>
      </c>
      <c r="N8" s="277">
        <f t="shared" si="5"/>
        <v>133432.83862857145</v>
      </c>
      <c r="O8" s="277">
        <f t="shared" si="5"/>
        <v>132869.74894285717</v>
      </c>
      <c r="P8" s="277">
        <f t="shared" si="5"/>
        <v>132306.65925714289</v>
      </c>
      <c r="Q8" s="277">
        <f t="shared" si="5"/>
        <v>131743.56957142861</v>
      </c>
      <c r="R8" s="277">
        <f t="shared" si="5"/>
        <v>131180.47988571433</v>
      </c>
      <c r="S8" s="277">
        <f t="shared" si="5"/>
        <v>130617.39020000004</v>
      </c>
      <c r="T8" s="277">
        <f t="shared" si="5"/>
        <v>130054.30051428576</v>
      </c>
      <c r="U8" s="277">
        <f t="shared" si="5"/>
        <v>129491.21082857148</v>
      </c>
      <c r="V8" s="277">
        <f t="shared" si="5"/>
        <v>128928.12114285718</v>
      </c>
      <c r="W8" s="277">
        <f t="shared" si="5"/>
        <v>128365.0314571429</v>
      </c>
      <c r="X8" s="277">
        <f t="shared" si="5"/>
        <v>127801.94177142862</v>
      </c>
      <c r="Y8" s="277">
        <f t="shared" si="5"/>
        <v>127238.85208571434</v>
      </c>
      <c r="Z8" s="277">
        <f t="shared" si="5"/>
        <v>126675.76240000007</v>
      </c>
      <c r="AA8" s="277">
        <f t="shared" si="5"/>
        <v>126112.67271428579</v>
      </c>
      <c r="AB8" s="277">
        <f t="shared" si="5"/>
        <v>125549.58302857151</v>
      </c>
      <c r="AC8" s="277">
        <f t="shared" si="5"/>
        <v>124986.49334285721</v>
      </c>
      <c r="AD8" s="277">
        <f t="shared" si="5"/>
        <v>124423.40365714293</v>
      </c>
      <c r="AE8" s="277">
        <f t="shared" si="5"/>
        <v>123860.31397142865</v>
      </c>
      <c r="AF8" s="277">
        <f t="shared" si="5"/>
        <v>123297.22428571437</v>
      </c>
      <c r="AG8" s="277">
        <f t="shared" si="5"/>
        <v>122734.13460000009</v>
      </c>
      <c r="AH8" s="277">
        <f t="shared" si="5"/>
        <v>122171.04491428581</v>
      </c>
      <c r="AI8" s="277">
        <f t="shared" si="5"/>
        <v>121607.95522857153</v>
      </c>
      <c r="AJ8" s="277">
        <f t="shared" si="5"/>
        <v>121044.86554285724</v>
      </c>
      <c r="AK8" s="277">
        <f t="shared" si="5"/>
        <v>120481.77585714296</v>
      </c>
      <c r="AL8" s="277">
        <f t="shared" si="5"/>
        <v>119918.68617142868</v>
      </c>
      <c r="AM8" s="277">
        <f t="shared" si="5"/>
        <v>119355.5964857144</v>
      </c>
      <c r="AN8" s="277">
        <f t="shared" si="5"/>
        <v>118792.50680000012</v>
      </c>
    </row>
    <row r="9" spans="6:40">
      <c r="J9" s="282" t="s">
        <v>104</v>
      </c>
      <c r="K9" s="283">
        <f>'Solar vs Load'!I11</f>
        <v>145828.70000000001</v>
      </c>
      <c r="L9" s="284">
        <f>$K$9*L1</f>
        <v>144370.413</v>
      </c>
      <c r="M9" s="284">
        <f t="shared" ref="M9:AN9" si="6">$K$9*M1</f>
        <v>143766.26552857144</v>
      </c>
      <c r="N9" s="284">
        <f t="shared" si="6"/>
        <v>143162.11805714288</v>
      </c>
      <c r="O9" s="284">
        <f t="shared" si="6"/>
        <v>142557.9705857143</v>
      </c>
      <c r="P9" s="284">
        <f t="shared" si="6"/>
        <v>141953.82311428574</v>
      </c>
      <c r="Q9" s="284">
        <f t="shared" si="6"/>
        <v>141349.67564285718</v>
      </c>
      <c r="R9" s="284">
        <f t="shared" si="6"/>
        <v>140745.5281714286</v>
      </c>
      <c r="S9" s="284">
        <f t="shared" si="6"/>
        <v>140141.38070000004</v>
      </c>
      <c r="T9" s="284">
        <f t="shared" si="6"/>
        <v>139537.23322857148</v>
      </c>
      <c r="U9" s="284">
        <f t="shared" si="6"/>
        <v>138933.08575714289</v>
      </c>
      <c r="V9" s="284">
        <f t="shared" si="6"/>
        <v>138328.93828571434</v>
      </c>
      <c r="W9" s="284">
        <f t="shared" si="6"/>
        <v>137724.79081428578</v>
      </c>
      <c r="X9" s="284">
        <f t="shared" si="6"/>
        <v>137120.64334285719</v>
      </c>
      <c r="Y9" s="284">
        <f t="shared" si="6"/>
        <v>136516.49587142863</v>
      </c>
      <c r="Z9" s="284">
        <f t="shared" si="6"/>
        <v>135912.34840000008</v>
      </c>
      <c r="AA9" s="284">
        <f t="shared" si="6"/>
        <v>135308.20092857149</v>
      </c>
      <c r="AB9" s="284">
        <f t="shared" si="6"/>
        <v>134704.05345714293</v>
      </c>
      <c r="AC9" s="284">
        <f t="shared" si="6"/>
        <v>134099.90598571437</v>
      </c>
      <c r="AD9" s="284">
        <f t="shared" si="6"/>
        <v>133495.75851428579</v>
      </c>
      <c r="AE9" s="284">
        <f t="shared" si="6"/>
        <v>132891.61104285723</v>
      </c>
      <c r="AF9" s="284">
        <f t="shared" si="6"/>
        <v>132287.46357142867</v>
      </c>
      <c r="AG9" s="284">
        <f t="shared" si="6"/>
        <v>131683.31610000008</v>
      </c>
      <c r="AH9" s="284">
        <f t="shared" si="6"/>
        <v>131079.16862857153</v>
      </c>
      <c r="AI9" s="284">
        <f t="shared" si="6"/>
        <v>130475.02115714295</v>
      </c>
      <c r="AJ9" s="284">
        <f t="shared" si="6"/>
        <v>129870.8736857144</v>
      </c>
      <c r="AK9" s="284">
        <f t="shared" si="6"/>
        <v>129266.72621428582</v>
      </c>
      <c r="AL9" s="284">
        <f t="shared" si="6"/>
        <v>128662.57874285725</v>
      </c>
      <c r="AM9" s="284">
        <f t="shared" si="6"/>
        <v>128058.43127142869</v>
      </c>
      <c r="AN9" s="284">
        <f t="shared" si="6"/>
        <v>127454.28380000012</v>
      </c>
    </row>
    <row r="10" spans="6:40">
      <c r="J10" s="280" t="s">
        <v>105</v>
      </c>
      <c r="K10" s="281">
        <f>'Solar vs Load'!I12</f>
        <v>146832.9</v>
      </c>
      <c r="L10" s="277">
        <f>$K$10*L1</f>
        <v>145364.571</v>
      </c>
      <c r="M10" s="277">
        <f t="shared" ref="M10:AN10" si="7">$K$10*M1</f>
        <v>144756.26327142856</v>
      </c>
      <c r="N10" s="277">
        <f t="shared" si="7"/>
        <v>144147.95554285715</v>
      </c>
      <c r="O10" s="277">
        <f t="shared" si="7"/>
        <v>143539.64781428571</v>
      </c>
      <c r="P10" s="277">
        <f t="shared" si="7"/>
        <v>142931.3400857143</v>
      </c>
      <c r="Q10" s="277">
        <f t="shared" si="7"/>
        <v>142323.03235714286</v>
      </c>
      <c r="R10" s="277">
        <f t="shared" si="7"/>
        <v>141714.72462857145</v>
      </c>
      <c r="S10" s="277">
        <f t="shared" si="7"/>
        <v>141106.41690000001</v>
      </c>
      <c r="T10" s="277">
        <f t="shared" si="7"/>
        <v>140498.1091714286</v>
      </c>
      <c r="U10" s="277">
        <f t="shared" si="7"/>
        <v>139889.80144285716</v>
      </c>
      <c r="V10" s="277">
        <f t="shared" si="7"/>
        <v>139281.49371428575</v>
      </c>
      <c r="W10" s="277">
        <f t="shared" si="7"/>
        <v>138673.18598571431</v>
      </c>
      <c r="X10" s="277">
        <f t="shared" si="7"/>
        <v>138064.8782571429</v>
      </c>
      <c r="Y10" s="277">
        <f t="shared" si="7"/>
        <v>137456.57052857146</v>
      </c>
      <c r="Z10" s="277">
        <f t="shared" si="7"/>
        <v>136848.26280000005</v>
      </c>
      <c r="AA10" s="277">
        <f t="shared" si="7"/>
        <v>136239.95507142862</v>
      </c>
      <c r="AB10" s="277">
        <f t="shared" si="7"/>
        <v>135631.64734285721</v>
      </c>
      <c r="AC10" s="277">
        <f t="shared" si="7"/>
        <v>135023.33961428577</v>
      </c>
      <c r="AD10" s="277">
        <f t="shared" si="7"/>
        <v>134415.03188571436</v>
      </c>
      <c r="AE10" s="277">
        <f t="shared" si="7"/>
        <v>133806.72415714292</v>
      </c>
      <c r="AF10" s="277">
        <f t="shared" si="7"/>
        <v>133198.41642857151</v>
      </c>
      <c r="AG10" s="277">
        <f t="shared" si="7"/>
        <v>132590.10870000007</v>
      </c>
      <c r="AH10" s="277">
        <f t="shared" si="7"/>
        <v>131981.80097142866</v>
      </c>
      <c r="AI10" s="277">
        <f t="shared" si="7"/>
        <v>131373.49324285722</v>
      </c>
      <c r="AJ10" s="277">
        <f t="shared" si="7"/>
        <v>130765.18551428581</v>
      </c>
      <c r="AK10" s="277">
        <f t="shared" si="7"/>
        <v>130156.87778571439</v>
      </c>
      <c r="AL10" s="277">
        <f t="shared" si="7"/>
        <v>129548.57005714296</v>
      </c>
      <c r="AM10" s="277">
        <f t="shared" si="7"/>
        <v>128940.26232857154</v>
      </c>
      <c r="AN10" s="277">
        <f t="shared" si="7"/>
        <v>128331.95460000011</v>
      </c>
    </row>
    <row r="11" spans="6:40">
      <c r="J11" s="282" t="s">
        <v>106</v>
      </c>
      <c r="K11" s="283">
        <f>'Solar vs Load'!I13</f>
        <v>156810.20000000001</v>
      </c>
      <c r="L11" s="284">
        <f>$K$11*L1</f>
        <v>155242.098</v>
      </c>
      <c r="M11" s="284">
        <f t="shared" ref="M11:AN11" si="8">$K$11*M1</f>
        <v>154592.45574285716</v>
      </c>
      <c r="N11" s="284">
        <f t="shared" si="8"/>
        <v>153942.81348571432</v>
      </c>
      <c r="O11" s="284">
        <f t="shared" si="8"/>
        <v>153293.17122857145</v>
      </c>
      <c r="P11" s="284">
        <f t="shared" si="8"/>
        <v>152643.5289714286</v>
      </c>
      <c r="Q11" s="284">
        <f t="shared" si="8"/>
        <v>151993.88671428573</v>
      </c>
      <c r="R11" s="284">
        <f t="shared" si="8"/>
        <v>151344.24445714289</v>
      </c>
      <c r="S11" s="284">
        <f t="shared" si="8"/>
        <v>150694.60220000005</v>
      </c>
      <c r="T11" s="284">
        <f t="shared" si="8"/>
        <v>150044.95994285718</v>
      </c>
      <c r="U11" s="284">
        <f t="shared" si="8"/>
        <v>149395.31768571434</v>
      </c>
      <c r="V11" s="284">
        <f t="shared" si="8"/>
        <v>148745.67542857147</v>
      </c>
      <c r="W11" s="284">
        <f t="shared" si="8"/>
        <v>148096.03317142863</v>
      </c>
      <c r="X11" s="284">
        <f t="shared" si="8"/>
        <v>147446.39091428579</v>
      </c>
      <c r="Y11" s="284">
        <f t="shared" si="8"/>
        <v>146796.74865714292</v>
      </c>
      <c r="Z11" s="284">
        <f t="shared" si="8"/>
        <v>146147.10640000008</v>
      </c>
      <c r="AA11" s="284">
        <f t="shared" si="8"/>
        <v>145497.46414285721</v>
      </c>
      <c r="AB11" s="284">
        <f t="shared" si="8"/>
        <v>144847.82188571437</v>
      </c>
      <c r="AC11" s="284">
        <f t="shared" si="8"/>
        <v>144198.17962857152</v>
      </c>
      <c r="AD11" s="284">
        <f t="shared" si="8"/>
        <v>143548.53737142865</v>
      </c>
      <c r="AE11" s="284">
        <f t="shared" si="8"/>
        <v>142898.89511428581</v>
      </c>
      <c r="AF11" s="284">
        <f t="shared" si="8"/>
        <v>142249.25285714294</v>
      </c>
      <c r="AG11" s="284">
        <f t="shared" si="8"/>
        <v>141599.6106000001</v>
      </c>
      <c r="AH11" s="284">
        <f t="shared" si="8"/>
        <v>140949.96834285726</v>
      </c>
      <c r="AI11" s="284">
        <f t="shared" si="8"/>
        <v>140300.32608571439</v>
      </c>
      <c r="AJ11" s="284">
        <f t="shared" si="8"/>
        <v>139650.68382857155</v>
      </c>
      <c r="AK11" s="284">
        <f t="shared" si="8"/>
        <v>139001.04157142868</v>
      </c>
      <c r="AL11" s="284">
        <f t="shared" si="8"/>
        <v>138351.39931428584</v>
      </c>
      <c r="AM11" s="284">
        <f t="shared" si="8"/>
        <v>137701.757057143</v>
      </c>
      <c r="AN11" s="284">
        <f t="shared" si="8"/>
        <v>137052.11480000013</v>
      </c>
    </row>
    <row r="12" spans="6:40">
      <c r="J12" s="280" t="s">
        <v>107</v>
      </c>
      <c r="K12" s="281">
        <f>'Solar vs Load'!I14</f>
        <v>131912.79999999999</v>
      </c>
      <c r="L12" s="277">
        <f>$K$12*L1</f>
        <v>130593.67199999999</v>
      </c>
      <c r="M12" s="277">
        <f t="shared" ref="M12:AN12" si="9">$K$12*M1</f>
        <v>130047.1761142857</v>
      </c>
      <c r="N12" s="277">
        <f t="shared" si="9"/>
        <v>129500.68022857142</v>
      </c>
      <c r="O12" s="277">
        <f t="shared" si="9"/>
        <v>128954.18434285714</v>
      </c>
      <c r="P12" s="277">
        <f t="shared" si="9"/>
        <v>128407.68845714285</v>
      </c>
      <c r="Q12" s="277">
        <f t="shared" si="9"/>
        <v>127861.19257142858</v>
      </c>
      <c r="R12" s="277">
        <f t="shared" si="9"/>
        <v>127314.6966857143</v>
      </c>
      <c r="S12" s="277">
        <f t="shared" si="9"/>
        <v>126768.20080000002</v>
      </c>
      <c r="T12" s="277">
        <f t="shared" si="9"/>
        <v>126221.70491428573</v>
      </c>
      <c r="U12" s="277">
        <f t="shared" si="9"/>
        <v>125675.20902857145</v>
      </c>
      <c r="V12" s="277">
        <f t="shared" si="9"/>
        <v>125128.71314285717</v>
      </c>
      <c r="W12" s="277">
        <f t="shared" si="9"/>
        <v>124582.21725714288</v>
      </c>
      <c r="X12" s="277">
        <f t="shared" si="9"/>
        <v>124035.7213714286</v>
      </c>
      <c r="Y12" s="277">
        <f t="shared" si="9"/>
        <v>123489.22548571433</v>
      </c>
      <c r="Z12" s="277">
        <f t="shared" si="9"/>
        <v>122942.72960000004</v>
      </c>
      <c r="AA12" s="277">
        <f t="shared" si="9"/>
        <v>122396.23371428576</v>
      </c>
      <c r="AB12" s="277">
        <f t="shared" si="9"/>
        <v>121849.73782857148</v>
      </c>
      <c r="AC12" s="277">
        <f t="shared" si="9"/>
        <v>121303.24194285719</v>
      </c>
      <c r="AD12" s="277">
        <f t="shared" si="9"/>
        <v>120756.74605714291</v>
      </c>
      <c r="AE12" s="277">
        <f t="shared" si="9"/>
        <v>120210.25017142863</v>
      </c>
      <c r="AF12" s="277">
        <f t="shared" si="9"/>
        <v>119663.75428571434</v>
      </c>
      <c r="AG12" s="277">
        <f t="shared" si="9"/>
        <v>119117.25840000006</v>
      </c>
      <c r="AH12" s="277">
        <f t="shared" si="9"/>
        <v>118570.76251428579</v>
      </c>
      <c r="AI12" s="277">
        <f t="shared" si="9"/>
        <v>118024.26662857149</v>
      </c>
      <c r="AJ12" s="277">
        <f t="shared" si="9"/>
        <v>117477.77074285722</v>
      </c>
      <c r="AK12" s="277">
        <f t="shared" si="9"/>
        <v>116931.27485714294</v>
      </c>
      <c r="AL12" s="277">
        <f t="shared" si="9"/>
        <v>116384.77897142866</v>
      </c>
      <c r="AM12" s="277">
        <f t="shared" si="9"/>
        <v>115838.28308571437</v>
      </c>
      <c r="AN12" s="277">
        <f t="shared" si="9"/>
        <v>115291.78720000009</v>
      </c>
    </row>
    <row r="13" spans="6:40">
      <c r="J13" s="282" t="s">
        <v>108</v>
      </c>
      <c r="K13" s="283">
        <f>'Solar vs Load'!I15</f>
        <v>128600.5</v>
      </c>
      <c r="L13" s="284">
        <f>$K$13*L1</f>
        <v>127314.495</v>
      </c>
      <c r="M13" s="284">
        <f t="shared" ref="M13:AN13" si="10">$K$13*M1</f>
        <v>126781.7215</v>
      </c>
      <c r="N13" s="284">
        <f t="shared" si="10"/>
        <v>126248.948</v>
      </c>
      <c r="O13" s="284">
        <f t="shared" si="10"/>
        <v>125716.17450000001</v>
      </c>
      <c r="P13" s="284">
        <f t="shared" si="10"/>
        <v>125183.40100000001</v>
      </c>
      <c r="Q13" s="284">
        <f t="shared" si="10"/>
        <v>124650.62750000002</v>
      </c>
      <c r="R13" s="284">
        <f t="shared" si="10"/>
        <v>124117.85400000002</v>
      </c>
      <c r="S13" s="284">
        <f t="shared" si="10"/>
        <v>123585.08050000003</v>
      </c>
      <c r="T13" s="284">
        <f t="shared" si="10"/>
        <v>123052.30700000003</v>
      </c>
      <c r="U13" s="284">
        <f t="shared" si="10"/>
        <v>122519.53350000003</v>
      </c>
      <c r="V13" s="284">
        <f t="shared" si="10"/>
        <v>121986.76000000004</v>
      </c>
      <c r="W13" s="284">
        <f t="shared" si="10"/>
        <v>121453.98650000004</v>
      </c>
      <c r="X13" s="284">
        <f t="shared" si="10"/>
        <v>120921.21300000005</v>
      </c>
      <c r="Y13" s="284">
        <f t="shared" si="10"/>
        <v>120388.43950000005</v>
      </c>
      <c r="Z13" s="284">
        <f t="shared" si="10"/>
        <v>119855.66600000006</v>
      </c>
      <c r="AA13" s="284">
        <f t="shared" si="10"/>
        <v>119322.89250000006</v>
      </c>
      <c r="AB13" s="284">
        <f t="shared" si="10"/>
        <v>118790.11900000005</v>
      </c>
      <c r="AC13" s="284">
        <f t="shared" si="10"/>
        <v>118257.34550000005</v>
      </c>
      <c r="AD13" s="284">
        <f t="shared" si="10"/>
        <v>117724.57200000006</v>
      </c>
      <c r="AE13" s="284">
        <f t="shared" si="10"/>
        <v>117191.79850000006</v>
      </c>
      <c r="AF13" s="284">
        <f t="shared" si="10"/>
        <v>116659.02500000007</v>
      </c>
      <c r="AG13" s="284">
        <f t="shared" si="10"/>
        <v>116126.25150000007</v>
      </c>
      <c r="AH13" s="284">
        <f t="shared" si="10"/>
        <v>115593.47800000008</v>
      </c>
      <c r="AI13" s="284">
        <f t="shared" si="10"/>
        <v>115060.70450000008</v>
      </c>
      <c r="AJ13" s="284">
        <f t="shared" si="10"/>
        <v>114527.93100000008</v>
      </c>
      <c r="AK13" s="284">
        <f t="shared" si="10"/>
        <v>113995.15750000009</v>
      </c>
      <c r="AL13" s="284">
        <f t="shared" si="10"/>
        <v>113462.38400000009</v>
      </c>
      <c r="AM13" s="284">
        <f t="shared" si="10"/>
        <v>112929.6105000001</v>
      </c>
      <c r="AN13" s="284">
        <f t="shared" si="10"/>
        <v>112396.8370000001</v>
      </c>
    </row>
    <row r="14" spans="6:40">
      <c r="J14" s="280" t="s">
        <v>109</v>
      </c>
      <c r="K14" s="281">
        <f>'Solar vs Load'!I16</f>
        <v>105277.4</v>
      </c>
      <c r="L14" s="277">
        <f>$K$14*L1</f>
        <v>104224.62599999999</v>
      </c>
      <c r="M14" s="277">
        <f t="shared" ref="M14:AN14" si="11">$K$14*M1</f>
        <v>103788.47677142857</v>
      </c>
      <c r="N14" s="277">
        <f t="shared" si="11"/>
        <v>103352.32754285714</v>
      </c>
      <c r="O14" s="277">
        <f t="shared" si="11"/>
        <v>102916.17831428572</v>
      </c>
      <c r="P14" s="277">
        <f t="shared" si="11"/>
        <v>102480.0290857143</v>
      </c>
      <c r="Q14" s="277">
        <f t="shared" si="11"/>
        <v>102043.87985714286</v>
      </c>
      <c r="R14" s="277">
        <f t="shared" si="11"/>
        <v>101607.73062857144</v>
      </c>
      <c r="S14" s="277">
        <f t="shared" si="11"/>
        <v>101171.58140000001</v>
      </c>
      <c r="T14" s="277">
        <f t="shared" si="11"/>
        <v>100735.43217142859</v>
      </c>
      <c r="U14" s="277">
        <f t="shared" si="11"/>
        <v>100299.28294285716</v>
      </c>
      <c r="V14" s="277">
        <f t="shared" si="11"/>
        <v>99863.133714285737</v>
      </c>
      <c r="W14" s="277">
        <f t="shared" si="11"/>
        <v>99426.984485714318</v>
      </c>
      <c r="X14" s="277">
        <f t="shared" si="11"/>
        <v>98990.835257142884</v>
      </c>
      <c r="Y14" s="277">
        <f t="shared" si="11"/>
        <v>98554.686028571465</v>
      </c>
      <c r="Z14" s="277">
        <f t="shared" si="11"/>
        <v>98118.536800000031</v>
      </c>
      <c r="AA14" s="277">
        <f t="shared" si="11"/>
        <v>97682.387571428611</v>
      </c>
      <c r="AB14" s="277">
        <f t="shared" si="11"/>
        <v>97246.238342857177</v>
      </c>
      <c r="AC14" s="277">
        <f t="shared" si="11"/>
        <v>96810.089114285758</v>
      </c>
      <c r="AD14" s="277">
        <f t="shared" si="11"/>
        <v>96373.939885714339</v>
      </c>
      <c r="AE14" s="277">
        <f t="shared" si="11"/>
        <v>95937.790657142905</v>
      </c>
      <c r="AF14" s="277">
        <f t="shared" si="11"/>
        <v>95501.641428571485</v>
      </c>
      <c r="AG14" s="277">
        <f t="shared" si="11"/>
        <v>95065.492200000052</v>
      </c>
      <c r="AH14" s="277">
        <f t="shared" si="11"/>
        <v>94629.342971428632</v>
      </c>
      <c r="AI14" s="277">
        <f t="shared" si="11"/>
        <v>94193.193742857198</v>
      </c>
      <c r="AJ14" s="277">
        <f t="shared" si="11"/>
        <v>93757.044514285779</v>
      </c>
      <c r="AK14" s="277">
        <f t="shared" si="11"/>
        <v>93320.895285714359</v>
      </c>
      <c r="AL14" s="277">
        <f t="shared" si="11"/>
        <v>92884.746057142926</v>
      </c>
      <c r="AM14" s="277">
        <f t="shared" si="11"/>
        <v>92448.596828571506</v>
      </c>
      <c r="AN14" s="277">
        <f t="shared" si="11"/>
        <v>92012.447600000072</v>
      </c>
    </row>
    <row r="15" spans="6:40">
      <c r="J15" s="282" t="s">
        <v>110</v>
      </c>
      <c r="K15" s="283">
        <f>'Solar vs Load'!I17</f>
        <v>100891.4</v>
      </c>
      <c r="L15" s="284">
        <f>$K$15*L1</f>
        <v>99882.48599999999</v>
      </c>
      <c r="M15" s="284">
        <f t="shared" ref="M15:AN15" si="12">$K$15*M1</f>
        <v>99464.507342857134</v>
      </c>
      <c r="N15" s="284">
        <f t="shared" si="12"/>
        <v>99046.528685714278</v>
      </c>
      <c r="O15" s="284">
        <f t="shared" si="12"/>
        <v>98628.550028571437</v>
      </c>
      <c r="P15" s="284">
        <f t="shared" si="12"/>
        <v>98210.571371428581</v>
      </c>
      <c r="Q15" s="284">
        <f t="shared" si="12"/>
        <v>97792.592714285725</v>
      </c>
      <c r="R15" s="284">
        <f t="shared" si="12"/>
        <v>97374.61405714287</v>
      </c>
      <c r="S15" s="284">
        <f t="shared" si="12"/>
        <v>96956.635400000014</v>
      </c>
      <c r="T15" s="284">
        <f t="shared" si="12"/>
        <v>96538.656742857158</v>
      </c>
      <c r="U15" s="284">
        <f t="shared" si="12"/>
        <v>96120.678085714302</v>
      </c>
      <c r="V15" s="284">
        <f t="shared" si="12"/>
        <v>95702.699428571446</v>
      </c>
      <c r="W15" s="284">
        <f t="shared" si="12"/>
        <v>95284.720771428591</v>
      </c>
      <c r="X15" s="284">
        <f t="shared" si="12"/>
        <v>94866.742114285735</v>
      </c>
      <c r="Y15" s="284">
        <f t="shared" si="12"/>
        <v>94448.763457142893</v>
      </c>
      <c r="Z15" s="284">
        <f t="shared" si="12"/>
        <v>94030.784800000038</v>
      </c>
      <c r="AA15" s="284">
        <f t="shared" si="12"/>
        <v>93612.806142857182</v>
      </c>
      <c r="AB15" s="284">
        <f t="shared" si="12"/>
        <v>93194.827485714326</v>
      </c>
      <c r="AC15" s="284">
        <f t="shared" si="12"/>
        <v>92776.84882857147</v>
      </c>
      <c r="AD15" s="284">
        <f t="shared" si="12"/>
        <v>92358.870171428614</v>
      </c>
      <c r="AE15" s="284">
        <f t="shared" si="12"/>
        <v>91940.891514285759</v>
      </c>
      <c r="AF15" s="284">
        <f t="shared" si="12"/>
        <v>91522.912857142903</v>
      </c>
      <c r="AG15" s="284">
        <f t="shared" si="12"/>
        <v>91104.934200000047</v>
      </c>
      <c r="AH15" s="284">
        <f t="shared" si="12"/>
        <v>90686.955542857206</v>
      </c>
      <c r="AI15" s="284">
        <f t="shared" si="12"/>
        <v>90268.97688571435</v>
      </c>
      <c r="AJ15" s="284">
        <f t="shared" si="12"/>
        <v>89850.998228571494</v>
      </c>
      <c r="AK15" s="284">
        <f t="shared" si="12"/>
        <v>89433.019571428638</v>
      </c>
      <c r="AL15" s="284">
        <f t="shared" si="12"/>
        <v>89015.040914285782</v>
      </c>
      <c r="AM15" s="284">
        <f t="shared" si="12"/>
        <v>88597.062257142927</v>
      </c>
      <c r="AN15" s="284">
        <f t="shared" si="12"/>
        <v>88179.083600000071</v>
      </c>
    </row>
    <row r="16" spans="6:40" ht="16.5" thickBot="1">
      <c r="J16" s="156" t="s">
        <v>136</v>
      </c>
      <c r="K16" s="157">
        <f>SUM(K4:K15)</f>
        <v>1564247.3</v>
      </c>
      <c r="L16" s="157">
        <f t="shared" ref="L16:AN16" si="13">SUM(L4:L15)</f>
        <v>1548604.8269999998</v>
      </c>
      <c r="M16" s="157">
        <f t="shared" si="13"/>
        <v>1542124.3738999998</v>
      </c>
      <c r="N16" s="157">
        <f t="shared" si="13"/>
        <v>1535643.9208000002</v>
      </c>
      <c r="O16" s="157">
        <f t="shared" si="13"/>
        <v>1529163.4677000004</v>
      </c>
      <c r="P16" s="157">
        <f t="shared" si="13"/>
        <v>1522683.0146000003</v>
      </c>
      <c r="Q16" s="157">
        <f t="shared" si="13"/>
        <v>1516202.5615000003</v>
      </c>
      <c r="R16" s="157">
        <f t="shared" si="13"/>
        <v>1509722.1084000003</v>
      </c>
      <c r="S16" s="157">
        <f t="shared" si="13"/>
        <v>1503241.6553000002</v>
      </c>
      <c r="T16" s="157">
        <f t="shared" si="13"/>
        <v>1496761.2022000004</v>
      </c>
      <c r="U16" s="157">
        <f t="shared" si="13"/>
        <v>1490280.7491000004</v>
      </c>
      <c r="V16" s="157">
        <f t="shared" si="13"/>
        <v>1483800.2960000003</v>
      </c>
      <c r="W16" s="157">
        <f t="shared" si="13"/>
        <v>1477319.8429000005</v>
      </c>
      <c r="X16" s="157">
        <f t="shared" si="13"/>
        <v>1470839.3898000002</v>
      </c>
      <c r="Y16" s="157">
        <f t="shared" si="13"/>
        <v>1464358.9367000009</v>
      </c>
      <c r="Z16" s="157">
        <f t="shared" si="13"/>
        <v>1457878.4836000004</v>
      </c>
      <c r="AA16" s="157">
        <f t="shared" si="13"/>
        <v>1451398.0305000008</v>
      </c>
      <c r="AB16" s="157">
        <f t="shared" si="13"/>
        <v>1444917.5774000008</v>
      </c>
      <c r="AC16" s="157">
        <f t="shared" si="13"/>
        <v>1438437.1243000007</v>
      </c>
      <c r="AD16" s="157">
        <f t="shared" si="13"/>
        <v>1431956.6712000009</v>
      </c>
      <c r="AE16" s="157">
        <f t="shared" si="13"/>
        <v>1425476.2181000006</v>
      </c>
      <c r="AF16" s="157">
        <f t="shared" si="13"/>
        <v>1418995.7650000008</v>
      </c>
      <c r="AG16" s="157">
        <f t="shared" si="13"/>
        <v>1412515.3119000008</v>
      </c>
      <c r="AH16" s="157">
        <f t="shared" si="13"/>
        <v>1406034.858800001</v>
      </c>
      <c r="AI16" s="157">
        <f t="shared" si="13"/>
        <v>1399554.4057000007</v>
      </c>
      <c r="AJ16" s="157">
        <f t="shared" si="13"/>
        <v>1393073.9526000014</v>
      </c>
      <c r="AK16" s="157">
        <f t="shared" si="13"/>
        <v>1386593.4995000013</v>
      </c>
      <c r="AL16" s="157">
        <f t="shared" si="13"/>
        <v>1380113.046400001</v>
      </c>
      <c r="AM16" s="157">
        <f t="shared" si="13"/>
        <v>1373632.5933000015</v>
      </c>
      <c r="AN16" s="157">
        <f t="shared" si="13"/>
        <v>1367152.140200001</v>
      </c>
    </row>
    <row r="17" spans="4:40" ht="16.5" thickTop="1">
      <c r="J17" s="76" t="s">
        <v>192</v>
      </c>
      <c r="K17" s="110">
        <f>0.9*K16</f>
        <v>1407822.57</v>
      </c>
      <c r="L17" s="110">
        <f t="shared" ref="L17:AN17" si="14">0.9*L16</f>
        <v>1393744.3442999998</v>
      </c>
      <c r="M17" s="110">
        <f t="shared" si="14"/>
        <v>1387911.9365099999</v>
      </c>
      <c r="N17" s="110">
        <f t="shared" si="14"/>
        <v>1382079.5287200003</v>
      </c>
      <c r="O17" s="110">
        <f t="shared" si="14"/>
        <v>1376247.1209300004</v>
      </c>
      <c r="P17" s="110">
        <f t="shared" si="14"/>
        <v>1370414.7131400004</v>
      </c>
      <c r="Q17" s="110">
        <f t="shared" si="14"/>
        <v>1364582.3053500003</v>
      </c>
      <c r="R17" s="110">
        <f t="shared" si="14"/>
        <v>1358749.8975600002</v>
      </c>
      <c r="S17" s="110">
        <f t="shared" si="14"/>
        <v>1352917.4897700003</v>
      </c>
      <c r="T17" s="110">
        <f t="shared" si="14"/>
        <v>1347085.0819800005</v>
      </c>
      <c r="U17" s="110">
        <f t="shared" si="14"/>
        <v>1341252.6741900004</v>
      </c>
      <c r="V17" s="110">
        <f t="shared" si="14"/>
        <v>1335420.2664000003</v>
      </c>
      <c r="W17" s="110">
        <f t="shared" si="14"/>
        <v>1329587.8586100005</v>
      </c>
      <c r="X17" s="110">
        <f t="shared" si="14"/>
        <v>1323755.4508200001</v>
      </c>
      <c r="Y17" s="110">
        <f t="shared" si="14"/>
        <v>1317923.0430300008</v>
      </c>
      <c r="Z17" s="110">
        <f t="shared" si="14"/>
        <v>1312090.6352400004</v>
      </c>
      <c r="AA17" s="110">
        <f t="shared" si="14"/>
        <v>1306258.2274500008</v>
      </c>
      <c r="AB17" s="110">
        <f t="shared" si="14"/>
        <v>1300425.8196600007</v>
      </c>
      <c r="AC17" s="110">
        <f t="shared" si="14"/>
        <v>1294593.4118700007</v>
      </c>
      <c r="AD17" s="110">
        <f t="shared" si="14"/>
        <v>1288761.0040800008</v>
      </c>
      <c r="AE17" s="110">
        <f t="shared" si="14"/>
        <v>1282928.5962900007</v>
      </c>
      <c r="AF17" s="110">
        <f t="shared" si="14"/>
        <v>1277096.1885000009</v>
      </c>
      <c r="AG17" s="110">
        <f t="shared" si="14"/>
        <v>1271263.7807100008</v>
      </c>
      <c r="AH17" s="110">
        <f t="shared" si="14"/>
        <v>1265431.3729200009</v>
      </c>
      <c r="AI17" s="110">
        <f t="shared" si="14"/>
        <v>1259598.9651300006</v>
      </c>
      <c r="AJ17" s="110">
        <f t="shared" si="14"/>
        <v>1253766.5573400012</v>
      </c>
      <c r="AK17" s="110">
        <f t="shared" si="14"/>
        <v>1247934.1495500011</v>
      </c>
      <c r="AL17" s="110">
        <f t="shared" si="14"/>
        <v>1242101.7417600011</v>
      </c>
      <c r="AM17" s="110">
        <f t="shared" si="14"/>
        <v>1236269.3339700014</v>
      </c>
      <c r="AN17" s="110">
        <f t="shared" si="14"/>
        <v>1230436.9261800009</v>
      </c>
    </row>
    <row r="18" spans="4:40">
      <c r="J18" s="278" t="s">
        <v>193</v>
      </c>
      <c r="K18" s="279">
        <f>0.8*K16</f>
        <v>1251397.8400000001</v>
      </c>
      <c r="L18" s="279">
        <f t="shared" ref="L18:AN18" si="15">0.8*L16</f>
        <v>1238883.8615999999</v>
      </c>
      <c r="M18" s="279">
        <f t="shared" si="15"/>
        <v>1233699.4991199998</v>
      </c>
      <c r="N18" s="279">
        <f t="shared" si="15"/>
        <v>1228515.1366400002</v>
      </c>
      <c r="O18" s="279">
        <f t="shared" si="15"/>
        <v>1223330.7741600003</v>
      </c>
      <c r="P18" s="279">
        <f t="shared" si="15"/>
        <v>1218146.4116800004</v>
      </c>
      <c r="Q18" s="279">
        <f t="shared" si="15"/>
        <v>1212962.0492000002</v>
      </c>
      <c r="R18" s="279">
        <f t="shared" si="15"/>
        <v>1207777.6867200003</v>
      </c>
      <c r="S18" s="279">
        <f t="shared" si="15"/>
        <v>1202593.3242400002</v>
      </c>
      <c r="T18" s="279">
        <f t="shared" si="15"/>
        <v>1197408.9617600003</v>
      </c>
      <c r="U18" s="279">
        <f t="shared" si="15"/>
        <v>1192224.5992800004</v>
      </c>
      <c r="V18" s="279">
        <f t="shared" si="15"/>
        <v>1187040.2368000003</v>
      </c>
      <c r="W18" s="279">
        <f t="shared" si="15"/>
        <v>1181855.8743200004</v>
      </c>
      <c r="X18" s="279">
        <f t="shared" si="15"/>
        <v>1176671.5118400003</v>
      </c>
      <c r="Y18" s="279">
        <f t="shared" si="15"/>
        <v>1171487.1493600009</v>
      </c>
      <c r="Z18" s="279">
        <f t="shared" si="15"/>
        <v>1166302.7868800003</v>
      </c>
      <c r="AA18" s="279">
        <f t="shared" si="15"/>
        <v>1161118.4244000006</v>
      </c>
      <c r="AB18" s="279">
        <f t="shared" si="15"/>
        <v>1155934.0619200007</v>
      </c>
      <c r="AC18" s="279">
        <f t="shared" si="15"/>
        <v>1150749.6994400006</v>
      </c>
      <c r="AD18" s="279">
        <f t="shared" si="15"/>
        <v>1145565.3369600007</v>
      </c>
      <c r="AE18" s="279">
        <f t="shared" si="15"/>
        <v>1140380.9744800006</v>
      </c>
      <c r="AF18" s="279">
        <f t="shared" si="15"/>
        <v>1135196.6120000007</v>
      </c>
      <c r="AG18" s="279">
        <f t="shared" si="15"/>
        <v>1130012.2495200008</v>
      </c>
      <c r="AH18" s="279">
        <f t="shared" si="15"/>
        <v>1124827.8870400009</v>
      </c>
      <c r="AI18" s="279">
        <f t="shared" si="15"/>
        <v>1119643.5245600005</v>
      </c>
      <c r="AJ18" s="279">
        <f t="shared" si="15"/>
        <v>1114459.1620800011</v>
      </c>
      <c r="AK18" s="279">
        <f t="shared" si="15"/>
        <v>1109274.7996000012</v>
      </c>
      <c r="AL18" s="279">
        <f t="shared" si="15"/>
        <v>1104090.4371200008</v>
      </c>
      <c r="AM18" s="279">
        <f t="shared" si="15"/>
        <v>1098906.0746400012</v>
      </c>
      <c r="AN18" s="279">
        <f t="shared" si="15"/>
        <v>1093721.7121600008</v>
      </c>
    </row>
    <row r="19" spans="4:40">
      <c r="J19" s="76" t="s">
        <v>194</v>
      </c>
      <c r="K19" s="110">
        <f>0.7*K16</f>
        <v>1094973.1099999999</v>
      </c>
      <c r="L19" s="110">
        <f t="shared" ref="L19:AN19" si="16">0.7*L16</f>
        <v>1084023.3788999999</v>
      </c>
      <c r="M19" s="110">
        <f t="shared" si="16"/>
        <v>1079487.0617299997</v>
      </c>
      <c r="N19" s="110">
        <f t="shared" si="16"/>
        <v>1074950.74456</v>
      </c>
      <c r="O19" s="110">
        <f t="shared" si="16"/>
        <v>1070414.4273900003</v>
      </c>
      <c r="P19" s="110">
        <f t="shared" si="16"/>
        <v>1065878.1102200001</v>
      </c>
      <c r="Q19" s="110">
        <f t="shared" si="16"/>
        <v>1061341.7930500002</v>
      </c>
      <c r="R19" s="110">
        <f t="shared" si="16"/>
        <v>1056805.47588</v>
      </c>
      <c r="S19" s="110">
        <f t="shared" si="16"/>
        <v>1052269.1587100001</v>
      </c>
      <c r="T19" s="110">
        <f t="shared" si="16"/>
        <v>1047732.8415400002</v>
      </c>
      <c r="U19" s="110">
        <f t="shared" si="16"/>
        <v>1043196.5243700002</v>
      </c>
      <c r="V19" s="110">
        <f t="shared" si="16"/>
        <v>1038660.2072000002</v>
      </c>
      <c r="W19" s="110">
        <f t="shared" si="16"/>
        <v>1034123.8900300002</v>
      </c>
      <c r="X19" s="110">
        <f t="shared" si="16"/>
        <v>1029587.5728600001</v>
      </c>
      <c r="Y19" s="110">
        <f t="shared" si="16"/>
        <v>1025051.2556900006</v>
      </c>
      <c r="Z19" s="110">
        <f t="shared" si="16"/>
        <v>1020514.9385200002</v>
      </c>
      <c r="AA19" s="110">
        <f t="shared" si="16"/>
        <v>1015978.6213500005</v>
      </c>
      <c r="AB19" s="110">
        <f t="shared" si="16"/>
        <v>1011442.3041800004</v>
      </c>
      <c r="AC19" s="110">
        <f t="shared" si="16"/>
        <v>1006905.9870100004</v>
      </c>
      <c r="AD19" s="110">
        <f t="shared" si="16"/>
        <v>1002369.6698400006</v>
      </c>
      <c r="AE19" s="110">
        <f t="shared" si="16"/>
        <v>997833.3526700004</v>
      </c>
      <c r="AF19" s="110">
        <f t="shared" si="16"/>
        <v>993297.03550000046</v>
      </c>
      <c r="AG19" s="110">
        <f t="shared" si="16"/>
        <v>988760.71833000053</v>
      </c>
      <c r="AH19" s="110">
        <f t="shared" si="16"/>
        <v>984224.40116000059</v>
      </c>
      <c r="AI19" s="110">
        <f t="shared" si="16"/>
        <v>979688.08399000042</v>
      </c>
      <c r="AJ19" s="110">
        <f t="shared" si="16"/>
        <v>975151.76682000083</v>
      </c>
      <c r="AK19" s="110">
        <f t="shared" si="16"/>
        <v>970615.4496500009</v>
      </c>
      <c r="AL19" s="110">
        <f t="shared" si="16"/>
        <v>966079.13248000061</v>
      </c>
      <c r="AM19" s="110">
        <f t="shared" si="16"/>
        <v>961542.81531000091</v>
      </c>
      <c r="AN19" s="110">
        <f t="shared" si="16"/>
        <v>957006.49814000062</v>
      </c>
    </row>
    <row r="20" spans="4:40" ht="18.75">
      <c r="D20" s="275" t="s">
        <v>82</v>
      </c>
      <c r="E20" s="275" t="s">
        <v>83</v>
      </c>
      <c r="F20" s="275" t="s">
        <v>84</v>
      </c>
      <c r="G20" s="275" t="s">
        <v>85</v>
      </c>
      <c r="H20" s="275" t="s">
        <v>86</v>
      </c>
      <c r="I20" s="275" t="s">
        <v>87</v>
      </c>
      <c r="J20" s="158"/>
    </row>
    <row r="21" spans="4:40">
      <c r="D21" s="275" t="s">
        <v>89</v>
      </c>
      <c r="E21" s="275">
        <v>118.4</v>
      </c>
      <c r="F21" s="275">
        <v>162.80000000000001</v>
      </c>
      <c r="G21" s="275">
        <v>157.4</v>
      </c>
      <c r="H21" s="119">
        <v>131505.5</v>
      </c>
      <c r="I21" s="119">
        <v>114671.7</v>
      </c>
      <c r="K21" s="111"/>
      <c r="M21" s="111"/>
      <c r="N21" s="111"/>
      <c r="O21" s="111"/>
      <c r="P21" s="111"/>
      <c r="Q21" s="111"/>
      <c r="R21" s="111"/>
      <c r="S21" s="111"/>
      <c r="T21" s="111"/>
      <c r="U21" s="111"/>
      <c r="V21" s="111"/>
      <c r="W21" s="111"/>
      <c r="X21" s="111"/>
      <c r="Y21" s="111"/>
      <c r="Z21" s="111"/>
      <c r="AA21" s="111"/>
      <c r="AB21" s="111"/>
      <c r="AC21" s="111"/>
      <c r="AD21" s="111"/>
      <c r="AE21" s="111"/>
      <c r="AF21" s="111"/>
      <c r="AG21" s="111"/>
      <c r="AH21" s="111"/>
      <c r="AI21" s="111"/>
      <c r="AJ21" s="76"/>
    </row>
    <row r="22" spans="4:40">
      <c r="D22" s="275" t="s">
        <v>90</v>
      </c>
      <c r="E22" s="275">
        <v>134.19999999999999</v>
      </c>
      <c r="F22" s="275">
        <v>169.1</v>
      </c>
      <c r="G22" s="275">
        <v>166.5</v>
      </c>
      <c r="H22" s="119">
        <v>139411.4</v>
      </c>
      <c r="I22" s="119">
        <v>119860.7</v>
      </c>
      <c r="J22" s="159"/>
      <c r="K22" s="111"/>
      <c r="M22" s="111"/>
      <c r="N22" s="111"/>
      <c r="O22" s="111"/>
      <c r="P22" s="111"/>
      <c r="Q22" s="111"/>
      <c r="R22" s="111"/>
      <c r="S22" s="111"/>
      <c r="T22" s="111"/>
      <c r="U22" s="111"/>
      <c r="V22" s="111"/>
      <c r="W22" s="111"/>
      <c r="X22" s="111"/>
      <c r="Y22" s="111"/>
      <c r="Z22" s="111"/>
      <c r="AA22" s="111"/>
      <c r="AB22" s="111"/>
      <c r="AC22" s="111"/>
      <c r="AD22" s="111"/>
      <c r="AE22" s="111"/>
      <c r="AF22" s="111"/>
      <c r="AG22" s="111"/>
      <c r="AH22" s="111"/>
      <c r="AI22" s="111"/>
      <c r="AJ22" s="76"/>
    </row>
    <row r="23" spans="4:40">
      <c r="D23" s="275" t="s">
        <v>91</v>
      </c>
      <c r="E23" s="275">
        <v>177.9</v>
      </c>
      <c r="F23" s="275">
        <v>200.3</v>
      </c>
      <c r="G23" s="275">
        <v>197.3</v>
      </c>
      <c r="H23" s="119">
        <v>165805.79999999999</v>
      </c>
      <c r="I23" s="119">
        <v>139298.29999999999</v>
      </c>
      <c r="K23" s="111"/>
      <c r="L23" s="111"/>
      <c r="M23" s="111"/>
      <c r="N23" s="111"/>
      <c r="O23" s="111"/>
      <c r="P23" s="111"/>
      <c r="Q23" s="111"/>
      <c r="R23" s="111"/>
      <c r="S23" s="111"/>
      <c r="T23" s="111"/>
      <c r="U23" s="111"/>
      <c r="V23" s="111"/>
      <c r="W23" s="111"/>
      <c r="X23" s="111"/>
      <c r="Y23" s="111"/>
      <c r="Z23" s="111"/>
      <c r="AA23" s="111"/>
      <c r="AB23" s="111"/>
      <c r="AC23" s="111"/>
      <c r="AD23" s="111"/>
      <c r="AE23" s="111"/>
      <c r="AF23" s="111"/>
      <c r="AG23" s="111"/>
      <c r="AH23" s="111"/>
      <c r="AI23" s="111"/>
      <c r="AJ23" s="76"/>
    </row>
    <row r="24" spans="4:40">
      <c r="D24" s="275" t="s">
        <v>92</v>
      </c>
      <c r="E24" s="275">
        <v>200</v>
      </c>
      <c r="F24" s="275">
        <v>202.3</v>
      </c>
      <c r="G24" s="275">
        <v>199</v>
      </c>
      <c r="H24" s="119">
        <v>168140.1</v>
      </c>
      <c r="I24" s="119">
        <v>142852.70000000001</v>
      </c>
      <c r="J24" s="159"/>
      <c r="K24" s="111"/>
      <c r="L24" s="111"/>
      <c r="M24" s="111"/>
      <c r="N24" s="111"/>
      <c r="O24" s="111"/>
      <c r="P24" s="111"/>
      <c r="Q24" s="111"/>
      <c r="R24" s="111"/>
      <c r="S24" s="111"/>
      <c r="T24" s="111"/>
      <c r="U24" s="111"/>
      <c r="V24" s="111"/>
      <c r="W24" s="111"/>
      <c r="X24" s="111"/>
      <c r="Y24" s="111"/>
      <c r="Z24" s="111"/>
      <c r="AA24" s="111"/>
      <c r="AB24" s="111"/>
      <c r="AC24" s="111"/>
      <c r="AD24" s="111"/>
      <c r="AE24" s="111"/>
      <c r="AF24" s="111"/>
      <c r="AG24" s="111"/>
      <c r="AH24" s="111"/>
      <c r="AI24" s="111"/>
      <c r="AJ24" s="76"/>
    </row>
    <row r="25" spans="4:40">
      <c r="D25" s="275" t="s">
        <v>93</v>
      </c>
      <c r="E25" s="275">
        <v>199.4</v>
      </c>
      <c r="F25" s="275">
        <v>186.4</v>
      </c>
      <c r="G25" s="275">
        <v>182.9</v>
      </c>
      <c r="H25" s="119">
        <v>155769</v>
      </c>
      <c r="I25" s="119">
        <v>133009.5</v>
      </c>
      <c r="K25" s="111"/>
      <c r="L25" s="111"/>
      <c r="M25" s="111"/>
      <c r="N25" s="111"/>
      <c r="O25" s="111"/>
      <c r="P25" s="111"/>
      <c r="Q25" s="111"/>
      <c r="R25" s="111"/>
      <c r="S25" s="111"/>
      <c r="T25" s="111"/>
      <c r="U25" s="111"/>
      <c r="V25" s="111"/>
      <c r="W25" s="111"/>
      <c r="X25" s="111"/>
      <c r="Y25" s="111"/>
      <c r="Z25" s="111"/>
      <c r="AA25" s="111"/>
      <c r="AB25" s="111"/>
      <c r="AC25" s="111"/>
      <c r="AD25" s="111"/>
      <c r="AE25" s="111"/>
      <c r="AF25" s="111"/>
      <c r="AG25" s="111"/>
      <c r="AH25" s="111"/>
      <c r="AI25" s="111"/>
      <c r="AJ25" s="76"/>
    </row>
    <row r="26" spans="4:40">
      <c r="D26" s="275" t="s">
        <v>94</v>
      </c>
      <c r="E26" s="275">
        <v>218.1</v>
      </c>
      <c r="F26" s="275">
        <v>196.2</v>
      </c>
      <c r="G26" s="275">
        <v>192.7</v>
      </c>
      <c r="H26" s="119">
        <v>164299.1</v>
      </c>
      <c r="I26" s="119">
        <v>141585.70000000001</v>
      </c>
      <c r="J26" s="159"/>
      <c r="K26" s="111"/>
      <c r="L26" s="111"/>
      <c r="M26" s="111"/>
      <c r="N26" s="111"/>
      <c r="O26" s="111"/>
      <c r="P26" s="111"/>
      <c r="Q26" s="111"/>
      <c r="R26" s="111"/>
      <c r="S26" s="111"/>
      <c r="T26" s="111"/>
      <c r="U26" s="111"/>
      <c r="V26" s="111"/>
      <c r="W26" s="111"/>
      <c r="X26" s="111"/>
      <c r="Y26" s="111"/>
      <c r="Z26" s="111"/>
      <c r="AA26" s="111"/>
      <c r="AB26" s="111"/>
      <c r="AC26" s="111"/>
      <c r="AD26" s="111"/>
      <c r="AE26" s="111"/>
      <c r="AF26" s="111"/>
      <c r="AG26" s="111"/>
      <c r="AH26" s="111"/>
      <c r="AI26" s="111"/>
      <c r="AJ26" s="76"/>
    </row>
    <row r="27" spans="4:40">
      <c r="D27" s="275" t="s">
        <v>95</v>
      </c>
      <c r="E27" s="275">
        <v>216.2</v>
      </c>
      <c r="F27" s="275">
        <v>198.7</v>
      </c>
      <c r="G27" s="275">
        <v>195.3</v>
      </c>
      <c r="H27" s="119">
        <v>166295</v>
      </c>
      <c r="I27" s="119">
        <v>143073.9</v>
      </c>
      <c r="K27" s="111"/>
      <c r="L27" s="111"/>
      <c r="M27" s="111"/>
      <c r="N27" s="111"/>
      <c r="O27" s="111"/>
      <c r="P27" s="111"/>
      <c r="Q27" s="111"/>
      <c r="R27" s="111"/>
      <c r="S27" s="111"/>
      <c r="T27" s="111"/>
      <c r="U27" s="111"/>
      <c r="V27" s="111"/>
      <c r="W27" s="111"/>
      <c r="X27" s="111"/>
      <c r="Y27" s="111"/>
      <c r="Z27" s="111"/>
      <c r="AA27" s="111"/>
      <c r="AB27" s="111"/>
      <c r="AC27" s="111"/>
      <c r="AD27" s="111"/>
      <c r="AE27" s="111"/>
      <c r="AF27" s="111"/>
      <c r="AG27" s="111"/>
      <c r="AH27" s="111"/>
      <c r="AI27" s="111"/>
      <c r="AJ27" s="76"/>
    </row>
    <row r="28" spans="4:40">
      <c r="D28" s="275" t="s">
        <v>96</v>
      </c>
      <c r="E28" s="275">
        <v>220.5</v>
      </c>
      <c r="F28" s="275">
        <v>216.4</v>
      </c>
      <c r="G28" s="275">
        <v>213</v>
      </c>
      <c r="H28" s="119">
        <v>180379.5</v>
      </c>
      <c r="I28" s="119">
        <v>154342.1</v>
      </c>
      <c r="J28" s="159"/>
      <c r="K28" s="111"/>
      <c r="L28" s="111"/>
      <c r="M28" s="111"/>
      <c r="N28" s="111"/>
      <c r="O28" s="111"/>
      <c r="P28" s="111"/>
      <c r="Q28" s="111"/>
      <c r="R28" s="111"/>
      <c r="S28" s="111"/>
      <c r="T28" s="111"/>
      <c r="U28" s="111"/>
      <c r="V28" s="111"/>
      <c r="W28" s="111"/>
      <c r="X28" s="111"/>
      <c r="Y28" s="111"/>
      <c r="Z28" s="111"/>
      <c r="AA28" s="111"/>
      <c r="AB28" s="111"/>
      <c r="AC28" s="111"/>
      <c r="AD28" s="111"/>
      <c r="AE28" s="111"/>
      <c r="AF28" s="111"/>
      <c r="AG28" s="111"/>
      <c r="AH28" s="111"/>
      <c r="AI28" s="111"/>
      <c r="AJ28" s="76"/>
    </row>
    <row r="29" spans="4:40">
      <c r="D29" s="275" t="s">
        <v>97</v>
      </c>
      <c r="E29" s="275">
        <v>171.6</v>
      </c>
      <c r="F29" s="275">
        <v>184.6</v>
      </c>
      <c r="G29" s="275">
        <v>181.6</v>
      </c>
      <c r="H29" s="119">
        <v>153133.4</v>
      </c>
      <c r="I29" s="119">
        <v>131713.4</v>
      </c>
      <c r="K29" s="111"/>
      <c r="L29" s="111"/>
      <c r="M29" s="111"/>
      <c r="N29" s="111"/>
      <c r="O29" s="111"/>
      <c r="P29" s="111"/>
      <c r="Q29" s="111"/>
      <c r="R29" s="111"/>
      <c r="S29" s="111"/>
      <c r="T29" s="111"/>
      <c r="U29" s="111"/>
      <c r="V29" s="111"/>
      <c r="W29" s="111"/>
      <c r="X29" s="111"/>
      <c r="Y29" s="111"/>
      <c r="Z29" s="111"/>
      <c r="AA29" s="111"/>
      <c r="AB29" s="111"/>
      <c r="AC29" s="111"/>
      <c r="AD29" s="111"/>
      <c r="AE29" s="111"/>
      <c r="AF29" s="111"/>
      <c r="AG29" s="111"/>
      <c r="AH29" s="111"/>
      <c r="AI29" s="111"/>
      <c r="AJ29" s="76"/>
    </row>
    <row r="30" spans="4:40">
      <c r="D30" s="275" t="s">
        <v>98</v>
      </c>
      <c r="E30" s="275">
        <v>152.19999999999999</v>
      </c>
      <c r="F30" s="275">
        <v>183.9</v>
      </c>
      <c r="G30" s="275">
        <v>180.9</v>
      </c>
      <c r="H30" s="119">
        <v>151562.1</v>
      </c>
      <c r="I30" s="119">
        <v>130570</v>
      </c>
      <c r="J30" s="159"/>
      <c r="K30" s="111"/>
      <c r="L30" s="111"/>
      <c r="M30" s="111"/>
      <c r="N30" s="111"/>
      <c r="O30" s="111"/>
      <c r="P30" s="111"/>
      <c r="Q30" s="111"/>
      <c r="R30" s="111"/>
      <c r="S30" s="111"/>
      <c r="T30" s="111"/>
      <c r="U30" s="111"/>
      <c r="V30" s="111"/>
      <c r="W30" s="111"/>
      <c r="X30" s="111"/>
      <c r="Y30" s="111"/>
      <c r="Z30" s="111"/>
      <c r="AA30" s="111"/>
      <c r="AB30" s="111"/>
      <c r="AC30" s="111"/>
      <c r="AD30" s="111"/>
      <c r="AE30" s="111"/>
      <c r="AF30" s="111"/>
      <c r="AG30" s="111"/>
      <c r="AH30" s="111"/>
      <c r="AI30" s="111"/>
      <c r="AJ30" s="76"/>
    </row>
    <row r="31" spans="4:40">
      <c r="D31" s="275" t="s">
        <v>183</v>
      </c>
      <c r="E31" s="275">
        <v>116</v>
      </c>
      <c r="F31" s="275">
        <v>154</v>
      </c>
      <c r="G31" s="275">
        <v>150.5</v>
      </c>
      <c r="H31" s="119">
        <v>125770.8</v>
      </c>
      <c r="I31" s="119">
        <v>109129.1</v>
      </c>
      <c r="K31" s="111"/>
      <c r="L31" s="111"/>
      <c r="M31" s="111"/>
      <c r="N31" s="111"/>
      <c r="O31" s="111"/>
      <c r="P31" s="111"/>
      <c r="Q31" s="111"/>
      <c r="R31" s="111"/>
      <c r="S31" s="111"/>
      <c r="T31" s="111"/>
      <c r="U31" s="111"/>
      <c r="V31" s="111"/>
      <c r="W31" s="111"/>
      <c r="X31" s="111"/>
      <c r="Y31" s="111"/>
      <c r="Z31" s="111"/>
      <c r="AA31" s="111"/>
      <c r="AB31" s="111"/>
      <c r="AC31" s="111"/>
      <c r="AD31" s="111"/>
      <c r="AE31" s="111"/>
      <c r="AF31" s="111"/>
      <c r="AG31" s="111"/>
      <c r="AH31" s="111"/>
      <c r="AI31" s="111"/>
      <c r="AJ31" s="76"/>
    </row>
    <row r="32" spans="4:40">
      <c r="D32" s="275" t="s">
        <v>99</v>
      </c>
      <c r="E32" s="275">
        <v>106.4</v>
      </c>
      <c r="F32" s="275">
        <v>150.4</v>
      </c>
      <c r="G32" s="275">
        <v>145.5</v>
      </c>
      <c r="H32" s="119">
        <v>121556.1</v>
      </c>
      <c r="I32" s="119">
        <v>106780.2</v>
      </c>
      <c r="J32" s="159"/>
      <c r="K32" s="95"/>
      <c r="L32" s="111"/>
      <c r="M32" s="111"/>
      <c r="N32" s="111"/>
      <c r="O32" s="111"/>
      <c r="P32" s="111"/>
      <c r="Q32" s="111"/>
      <c r="R32" s="111"/>
      <c r="S32" s="111"/>
      <c r="T32" s="111"/>
      <c r="U32" s="111"/>
      <c r="V32" s="111"/>
      <c r="W32" s="111"/>
      <c r="X32" s="111"/>
      <c r="Y32" s="111"/>
      <c r="Z32" s="111"/>
      <c r="AA32" s="111"/>
      <c r="AB32" s="111"/>
      <c r="AC32" s="111"/>
      <c r="AD32" s="111"/>
      <c r="AE32" s="111"/>
      <c r="AF32" s="111"/>
      <c r="AG32" s="111"/>
      <c r="AH32" s="111"/>
      <c r="AI32" s="111"/>
      <c r="AJ32" s="76"/>
    </row>
    <row r="33" spans="9:36">
      <c r="I33" s="119">
        <f>SUM(I21:I32)</f>
        <v>1566887.2999999998</v>
      </c>
      <c r="J33" s="160"/>
      <c r="K33" s="161"/>
      <c r="L33" s="161"/>
      <c r="M33" s="161"/>
      <c r="N33" s="161"/>
      <c r="O33" s="161"/>
      <c r="P33" s="161"/>
      <c r="Q33" s="161"/>
      <c r="R33" s="161"/>
      <c r="S33" s="161"/>
      <c r="T33" s="161"/>
      <c r="U33" s="161"/>
      <c r="V33" s="161"/>
      <c r="W33" s="161"/>
      <c r="X33" s="161"/>
      <c r="Y33" s="161"/>
      <c r="Z33" s="161"/>
      <c r="AA33" s="161"/>
      <c r="AB33" s="161"/>
      <c r="AC33" s="161"/>
      <c r="AD33" s="161"/>
      <c r="AE33" s="161"/>
      <c r="AF33" s="161"/>
      <c r="AG33" s="161"/>
      <c r="AH33" s="161"/>
      <c r="AI33" s="161"/>
      <c r="AJ33" s="76"/>
    </row>
    <row r="34" spans="9:36">
      <c r="I34" s="76">
        <f>I33/K16</f>
        <v>1.0016877126781678</v>
      </c>
      <c r="AJ34" s="76"/>
    </row>
    <row r="35" spans="9:36">
      <c r="AJ35" s="76"/>
    </row>
    <row r="36" spans="9:36">
      <c r="AJ36" s="76"/>
    </row>
    <row r="37" spans="9:36">
      <c r="AJ37" s="76"/>
    </row>
    <row r="38" spans="9:36">
      <c r="AJ38" s="76"/>
    </row>
  </sheetData>
  <mergeCells count="2">
    <mergeCell ref="F4:G4"/>
    <mergeCell ref="F5:G5"/>
  </mergeCells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11</vt:i4>
      </vt:variant>
      <vt:variant>
        <vt:lpstr>Rangos con nombre</vt:lpstr>
      </vt:variant>
      <vt:variant>
        <vt:i4>3</vt:i4>
      </vt:variant>
    </vt:vector>
  </HeadingPairs>
  <TitlesOfParts>
    <vt:vector size="14" baseType="lpstr">
      <vt:lpstr>Presentacion</vt:lpstr>
      <vt:lpstr>Hoja1</vt:lpstr>
      <vt:lpstr>main cash flow</vt:lpstr>
      <vt:lpstr>RECIBO CFE</vt:lpstr>
      <vt:lpstr>PPA proposal</vt:lpstr>
      <vt:lpstr>Solar vs Load</vt:lpstr>
      <vt:lpstr>Pay Fdo GTO</vt:lpstr>
      <vt:lpstr>EPC</vt:lpstr>
      <vt:lpstr>Energy Grid</vt:lpstr>
      <vt:lpstr>Hoja2</vt:lpstr>
      <vt:lpstr>Hoja3</vt:lpstr>
      <vt:lpstr>Presentacion!Área_de_impresión</vt:lpstr>
      <vt:lpstr>INPC</vt:lpstr>
      <vt:lpstr>tc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jesus alfredo morales</dc:creator>
  <cp:lastModifiedBy>Asus</cp:lastModifiedBy>
  <cp:lastPrinted>2023-02-13T19:02:00Z</cp:lastPrinted>
  <dcterms:created xsi:type="dcterms:W3CDTF">2022-09-12T13:41:18Z</dcterms:created>
  <dcterms:modified xsi:type="dcterms:W3CDTF">2025-10-28T16:34:14Z</dcterms:modified>
</cp:coreProperties>
</file>